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1760" tabRatio="903" firstSheet="3" activeTab="16"/>
  </bookViews>
  <sheets>
    <sheet name="2013年1月" sheetId="1" r:id="rId1"/>
    <sheet name="2013年3月" sheetId="2" r:id="rId2"/>
    <sheet name="2013年4月" sheetId="3" r:id="rId3"/>
    <sheet name="2013年5月" sheetId="4" r:id="rId4"/>
    <sheet name="2013年6月" sheetId="5" r:id="rId5"/>
    <sheet name="2013年7月" sheetId="6" r:id="rId6"/>
    <sheet name="2013年9月" sheetId="7" r:id="rId7"/>
    <sheet name="2013年10月" sheetId="8" r:id="rId8"/>
    <sheet name="2013年12月" sheetId="9" r:id="rId9"/>
    <sheet name="2014年1月" sheetId="10" r:id="rId10"/>
    <sheet name="2014年2月" sheetId="11" r:id="rId11"/>
    <sheet name="2014年3月" sheetId="12" r:id="rId12"/>
    <sheet name="2014年4月" sheetId="13" r:id="rId13"/>
    <sheet name="2014年5月" sheetId="14" r:id="rId14"/>
    <sheet name="2014年6月" sheetId="15" r:id="rId15"/>
    <sheet name="2014年8月" sheetId="16" r:id="rId16"/>
    <sheet name="2014年9月" sheetId="17" r:id="rId17"/>
  </sheets>
  <definedNames/>
  <calcPr fullCalcOnLoad="1"/>
</workbook>
</file>

<file path=xl/sharedStrings.xml><?xml version="1.0" encoding="utf-8"?>
<sst xmlns="http://schemas.openxmlformats.org/spreadsheetml/2006/main" count="1922" uniqueCount="338">
  <si>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</si>
  <si>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</si>
  <si>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</si>
  <si>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</si>
  <si>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</si>
  <si>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</si>
  <si>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</si>
  <si>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</si>
  <si>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</si>
  <si>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</si>
  <si>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</si>
  <si>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</si>
  <si>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观民甲</t>
  </si>
  <si>
    <t>行云尊者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</si>
  <si>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</si>
  <si>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</si>
  <si>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</si>
  <si>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</si>
  <si>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</si>
  <si>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</si>
  <si>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</si>
  <si>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</si>
  <si>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中南海08</t>
  </si>
  <si>
    <t>黑色闪电</t>
  </si>
  <si>
    <t>晴天雨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</si>
  <si>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</si>
  <si>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</si>
  <si>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</si>
  <si>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</si>
  <si>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</si>
  <si>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</si>
  <si>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</si>
  <si>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</si>
  <si>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</si>
  <si>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聚餐</t>
  </si>
  <si>
    <t>老猴儿</t>
  </si>
  <si>
    <t>野蛮人</t>
  </si>
  <si>
    <t>高斯特</t>
  </si>
  <si>
    <t>雨点儿</t>
  </si>
  <si>
    <t>Rainingliu</t>
  </si>
  <si>
    <t>贝隆</t>
  </si>
  <si>
    <t>没头脑不高兴</t>
  </si>
  <si>
    <t>胖头鱼1号</t>
  </si>
  <si>
    <t>贝纳通的GG</t>
  </si>
  <si>
    <t>清净无为</t>
  </si>
  <si>
    <t>思无邪</t>
  </si>
  <si>
    <t>群鹿</t>
  </si>
  <si>
    <t>龙龙四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</si>
  <si>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</si>
  <si>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</si>
  <si>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</si>
  <si>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</si>
  <si>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展白</t>
  </si>
  <si>
    <t>POLO</t>
  </si>
  <si>
    <t>逸风沐雨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</si>
  <si>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</si>
  <si>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贝隆同学拾金不昧35元，直接在本次活动中充公</t>
  </si>
  <si>
    <t>聚餐</t>
  </si>
  <si>
    <t>老猴儿</t>
  </si>
  <si>
    <t>野蛮人</t>
  </si>
  <si>
    <t>观民甲</t>
  </si>
  <si>
    <t>高斯特</t>
  </si>
  <si>
    <t>行云尊者</t>
  </si>
  <si>
    <t>贝隆</t>
  </si>
  <si>
    <t>独孤</t>
  </si>
  <si>
    <t>雨点儿</t>
  </si>
  <si>
    <t>奥迪TT</t>
  </si>
  <si>
    <t>两只鱼</t>
  </si>
  <si>
    <t>乔尔</t>
  </si>
  <si>
    <t>流浪隐士</t>
  </si>
  <si>
    <t>运动无限</t>
  </si>
  <si>
    <t>没头脑不高兴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</si>
  <si>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</si>
  <si>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</si>
  <si>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</si>
  <si>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</si>
  <si>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</si>
  <si>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</si>
  <si>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</si>
  <si>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</si>
  <si>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</si>
  <si>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Rainingliu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</si>
  <si>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</si>
  <si>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</si>
  <si>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</si>
  <si>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</si>
  <si>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</si>
  <si>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</si>
  <si>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</si>
  <si>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未顶贴情况</t>
  </si>
  <si>
    <t>未报名直接去情况</t>
  </si>
  <si>
    <t>报名未到情况：</t>
  </si>
  <si>
    <t>晴天雨</t>
  </si>
  <si>
    <t>lookworld同学，支持他恢复资格的人数不足20人，不能恢复，本次活动记20元</t>
  </si>
  <si>
    <t>lookworld</t>
  </si>
  <si>
    <t>野蛮人</t>
  </si>
  <si>
    <t>行云尊者</t>
  </si>
  <si>
    <t>运动无限</t>
  </si>
  <si>
    <t>龙龙四</t>
  </si>
  <si>
    <t>清净无为</t>
  </si>
  <si>
    <t>思无邪</t>
  </si>
  <si>
    <t>Rainingliu</t>
  </si>
  <si>
    <t>未顶贴情况</t>
  </si>
  <si>
    <t>老猴儿</t>
  </si>
  <si>
    <t>水雷</t>
  </si>
  <si>
    <t>水雷同学新加入，欢迎</t>
  </si>
  <si>
    <t>一个老外蹭了一会儿球，俺不懂怎样跟他要monny</t>
  </si>
  <si>
    <t>大海888同学临时参加活动，费用20元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</si>
  <si>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</si>
  <si>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</si>
  <si>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</si>
  <si>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</si>
  <si>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</si>
  <si>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网站故障，晴天雨未报名，免扣</t>
  </si>
  <si>
    <t>贝隆</t>
  </si>
  <si>
    <t>流云无解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</si>
  <si>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</si>
  <si>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</si>
  <si>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</si>
  <si>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</si>
  <si>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</si>
  <si>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网络原因造成老猴儿童鞋不能报名，免扣。水雷童鞋未顶贴，原因不明，免扣。</t>
  </si>
  <si>
    <t>网络故障，免扣。</t>
  </si>
  <si>
    <t>乔尔</t>
  </si>
  <si>
    <t>退出同A</t>
  </si>
  <si>
    <t>没头脑不高兴</t>
  </si>
  <si>
    <t>退出同A</t>
  </si>
  <si>
    <t>老猴儿</t>
  </si>
  <si>
    <t>野蛮人</t>
  </si>
  <si>
    <t>观民甲</t>
  </si>
  <si>
    <t>高斯特</t>
  </si>
  <si>
    <t>行云尊者</t>
  </si>
  <si>
    <t>贝隆</t>
  </si>
  <si>
    <t>独孤</t>
  </si>
  <si>
    <t>雨点儿</t>
  </si>
  <si>
    <t>奥迪TT</t>
  </si>
  <si>
    <t>两只鱼</t>
  </si>
  <si>
    <t>POLO</t>
  </si>
  <si>
    <t>lookworld</t>
  </si>
  <si>
    <t>流浪隐士</t>
  </si>
  <si>
    <t>运动无限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</si>
  <si>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</si>
  <si>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</si>
  <si>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</si>
  <si>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</si>
  <si>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</si>
  <si>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</si>
  <si>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</si>
  <si>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</si>
  <si>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</si>
  <si>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展白</t>
  </si>
  <si>
    <t>水雷</t>
  </si>
  <si>
    <t>Rainingliu</t>
  </si>
  <si>
    <t>乔尔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</si>
  <si>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</si>
  <si>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</si>
  <si>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</si>
  <si>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</si>
  <si>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</si>
  <si>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</si>
  <si>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</si>
  <si>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</si>
  <si>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</si>
  <si>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</si>
  <si>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</si>
  <si>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</si>
  <si>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</si>
  <si>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</si>
  <si>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</si>
  <si>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14号14</t>
  </si>
  <si>
    <t>青藤草民</t>
  </si>
  <si>
    <t>两位新人未顶贴，首次，免扣</t>
  </si>
  <si>
    <t>行云费用中300元划入新人账户各150元</t>
  </si>
  <si>
    <t>大海888</t>
  </si>
  <si>
    <t>14号14</t>
  </si>
  <si>
    <t>青藤草民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</si>
  <si>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</si>
  <si>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</si>
  <si>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</si>
  <si>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晴天雨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</si>
  <si>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</si>
  <si>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</si>
  <si>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</si>
  <si>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</si>
  <si>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</si>
  <si>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</si>
  <si>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</si>
  <si>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</si>
  <si>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诚诚爸</t>
  </si>
  <si>
    <t>往风雅仕79</t>
  </si>
  <si>
    <t>33号</t>
  </si>
  <si>
    <t>流云无解</t>
  </si>
  <si>
    <t>独孤退出，剩余费用1.1032元，本次活动充公</t>
  </si>
  <si>
    <t>帕维尔</t>
  </si>
  <si>
    <t>20件马甲同A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</si>
  <si>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</si>
  <si>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</si>
  <si>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</si>
  <si>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</si>
  <si>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</si>
  <si>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土地老儿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</si>
  <si>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</si>
  <si>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</si>
  <si>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</si>
  <si>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</si>
  <si>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</si>
  <si>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</si>
  <si>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鲁尼</t>
  </si>
  <si>
    <t>行云尊者未顶贴，免扣</t>
  </si>
  <si>
    <t>FB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</si>
  <si>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</si>
  <si>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</si>
  <si>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</si>
  <si>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帕维尔未报名直接到，免扣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</si>
  <si>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</si>
  <si>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老猴儿</t>
  </si>
  <si>
    <t>野蛮人</t>
  </si>
  <si>
    <t>观民甲</t>
  </si>
  <si>
    <t>高斯特</t>
  </si>
  <si>
    <t>行云尊者</t>
  </si>
  <si>
    <t>贝隆</t>
  </si>
  <si>
    <t>帕维尔</t>
  </si>
  <si>
    <t>雨点儿</t>
  </si>
  <si>
    <t>奥迪TT</t>
  </si>
  <si>
    <t>两只鱼</t>
  </si>
  <si>
    <t>POLO</t>
  </si>
  <si>
    <t>lookworld</t>
  </si>
  <si>
    <t>大海888</t>
  </si>
  <si>
    <t>流浪隐士</t>
  </si>
  <si>
    <t>运动无限</t>
  </si>
  <si>
    <t>14号14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</si>
  <si>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</si>
  <si>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</si>
  <si>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</si>
  <si>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</si>
  <si>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</si>
  <si>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</si>
  <si>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</si>
  <si>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</si>
  <si>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</si>
  <si>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展白</t>
  </si>
  <si>
    <t>青藤草民</t>
  </si>
  <si>
    <t>水雷</t>
  </si>
  <si>
    <t>33号</t>
  </si>
  <si>
    <t>鲁尼</t>
  </si>
  <si>
    <t>Rainingliu</t>
  </si>
  <si>
    <t>乔尔</t>
  </si>
  <si>
    <t>往风雅仕79</t>
  </si>
  <si>
    <t>土地老儿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</si>
  <si>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</si>
  <si>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</si>
  <si>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</si>
  <si>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</si>
  <si>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</si>
  <si>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</si>
  <si>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</si>
  <si>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</si>
  <si>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</si>
  <si>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</si>
  <si>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</si>
  <si>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</si>
  <si>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</si>
  <si>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</si>
  <si>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大海被报名截止，不扣</t>
  </si>
  <si>
    <t>往风雅仕</t>
  </si>
  <si>
    <t>新足球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</si>
  <si>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</si>
  <si>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</si>
  <si>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</si>
  <si>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</si>
  <si>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</si>
  <si>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往风雅仕未报名直接到，本次免扣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</si>
  <si>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</si>
  <si>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</si>
  <si>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</si>
  <si>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</si>
  <si>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流浪隐士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</si>
  <si>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</si>
  <si>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</si>
  <si>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</si>
  <si>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</si>
  <si>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</si>
  <si>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7月4日看球喝酒</t>
  </si>
  <si>
    <t>由于德国获得冠军，所以只A猜世界杯决赛阿根廷胜的同学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</si>
  <si>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</si>
  <si>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</si>
  <si>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</si>
  <si>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</si>
  <si>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</si>
  <si>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老猴儿</t>
  </si>
  <si>
    <t>野蛮人</t>
  </si>
  <si>
    <t>观民甲</t>
  </si>
  <si>
    <t>高斯特</t>
  </si>
  <si>
    <t>行云尊者</t>
  </si>
  <si>
    <t>贝隆</t>
  </si>
  <si>
    <t>帕维尔</t>
  </si>
  <si>
    <t>雨点儿</t>
  </si>
  <si>
    <t>奥迪TT</t>
  </si>
  <si>
    <t>两只鱼</t>
  </si>
  <si>
    <t>POLO</t>
  </si>
  <si>
    <t>lookworld</t>
  </si>
  <si>
    <t>大海888</t>
  </si>
  <si>
    <t>流浪隐士</t>
  </si>
  <si>
    <t>运动无限</t>
  </si>
  <si>
    <t>14号14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</si>
  <si>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</si>
  <si>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</si>
  <si>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</si>
  <si>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</si>
  <si>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</si>
  <si>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</si>
  <si>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</si>
  <si>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</si>
  <si>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</si>
  <si>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展白</t>
  </si>
  <si>
    <t>青藤草民</t>
  </si>
  <si>
    <t>水雷</t>
  </si>
  <si>
    <t>33号</t>
  </si>
  <si>
    <t>鲁尼</t>
  </si>
  <si>
    <t>Rainingliu</t>
  </si>
  <si>
    <t>乔尔</t>
  </si>
  <si>
    <t>往风雅仕79</t>
  </si>
  <si>
    <t>土地老儿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</si>
  <si>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</si>
  <si>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</si>
  <si>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</si>
  <si>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</si>
  <si>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</si>
  <si>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</si>
  <si>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</si>
  <si>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</si>
  <si>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</si>
  <si>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</si>
  <si>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</si>
  <si>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</si>
  <si>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</si>
  <si>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</si>
  <si>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鲁尼恢复队员身份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</si>
</sst>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0" fillId="2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196" fontId="0" fillId="20" borderId="23" xfId="0" applyNumberFormat="1" applyFont="1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10" borderId="39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24" fillId="3" borderId="22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0" fontId="24" fillId="20" borderId="22" xfId="0" applyFont="1" applyFill="1" applyBorder="1" applyAlignment="1">
      <alignment/>
    </xf>
    <xf numFmtId="0" fontId="24" fillId="26" borderId="22" xfId="0" applyFont="1" applyFill="1" applyBorder="1" applyAlignment="1">
      <alignment/>
    </xf>
    <xf numFmtId="0" fontId="23" fillId="0" borderId="0" xfId="0" applyFont="1" applyAlignment="1">
      <alignment wrapText="1"/>
    </xf>
    <xf numFmtId="0" fontId="23" fillId="0" borderId="41" xfId="0" applyFont="1" applyBorder="1" applyAlignment="1">
      <alignment/>
    </xf>
    <xf numFmtId="0" fontId="23" fillId="24" borderId="25" xfId="0" applyFont="1" applyFill="1" applyBorder="1" applyAlignment="1">
      <alignment/>
    </xf>
    <xf numFmtId="0" fontId="27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2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24" fillId="0" borderId="0" xfId="0" applyFont="1" applyAlignment="1">
      <alignment wrapText="1"/>
    </xf>
    <xf numFmtId="0" fontId="27" fillId="10" borderId="38" xfId="0" applyFont="1" applyFill="1" applyBorder="1" applyAlignment="1">
      <alignment/>
    </xf>
    <xf numFmtId="0" fontId="26" fillId="0" borderId="0" xfId="0" applyFont="1" applyAlignment="1">
      <alignment/>
    </xf>
    <xf numFmtId="0" fontId="23" fillId="24" borderId="24" xfId="0" applyFont="1" applyFill="1" applyBorder="1" applyAlignment="1">
      <alignment/>
    </xf>
    <xf numFmtId="0" fontId="24" fillId="26" borderId="22" xfId="0" applyFont="1" applyFill="1" applyBorder="1" applyAlignment="1">
      <alignment horizontal="left"/>
    </xf>
    <xf numFmtId="0" fontId="24" fillId="25" borderId="22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23" fillId="24" borderId="24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30" sqref="Q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41287</v>
      </c>
      <c r="E1" s="126"/>
      <c r="F1" s="127"/>
      <c r="G1" s="16"/>
      <c r="H1" s="24">
        <v>41294</v>
      </c>
      <c r="I1" s="17"/>
      <c r="J1" s="30"/>
      <c r="K1" s="24">
        <v>41301</v>
      </c>
      <c r="L1" s="31"/>
      <c r="M1" s="16"/>
      <c r="N1" s="24">
        <v>41307</v>
      </c>
      <c r="O1" s="17"/>
      <c r="P1" s="16"/>
      <c r="Q1" s="24">
        <v>41328</v>
      </c>
      <c r="R1" s="17"/>
      <c r="S1" s="108" t="s">
        <v>34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v>46.1652</v>
      </c>
      <c r="D3" s="50">
        <v>1</v>
      </c>
      <c r="E3" s="51">
        <v>20.4175</v>
      </c>
      <c r="F3" s="52">
        <f>-11.1111*D3</f>
        <v>-11.1111</v>
      </c>
      <c r="G3" s="50">
        <v>1</v>
      </c>
      <c r="H3" s="51">
        <v>14.1221</v>
      </c>
      <c r="I3" s="52">
        <f>-13.4091*G3</f>
        <v>-13.4091</v>
      </c>
      <c r="J3" s="50">
        <v>1</v>
      </c>
      <c r="K3" s="51">
        <v>80</v>
      </c>
      <c r="L3" s="52">
        <f>-15*J3</f>
        <v>-15</v>
      </c>
      <c r="M3" s="50">
        <v>1</v>
      </c>
      <c r="N3" s="51"/>
      <c r="O3" s="52">
        <f>-18.75*M3</f>
        <v>-18.75</v>
      </c>
      <c r="P3" s="87">
        <v>1</v>
      </c>
      <c r="Q3" s="96"/>
      <c r="R3" s="52">
        <f>-14.7222*P3</f>
        <v>-14.7222</v>
      </c>
      <c r="S3" s="50"/>
      <c r="T3" s="53">
        <v>-48</v>
      </c>
      <c r="U3" s="76">
        <f aca="true" t="shared" si="0" ref="U3:U34">C3+E3+F3+H3+I3+K3+L3+N3+O3+T3+Q3+R3</f>
        <v>39.71239999999999</v>
      </c>
      <c r="W3" s="86"/>
    </row>
    <row r="4" spans="1:23" ht="12.75">
      <c r="A4" s="2">
        <v>2</v>
      </c>
      <c r="B4" s="75" t="s">
        <v>3</v>
      </c>
      <c r="C4" s="49">
        <v>151.3935</v>
      </c>
      <c r="D4" s="50">
        <v>1</v>
      </c>
      <c r="E4" s="51"/>
      <c r="F4" s="52">
        <f aca="true" t="shared" si="1" ref="F4:F41">-11.1111*D4</f>
        <v>-11.1111</v>
      </c>
      <c r="G4" s="50">
        <v>1</v>
      </c>
      <c r="H4" s="51"/>
      <c r="I4" s="52">
        <f aca="true" t="shared" si="2" ref="I4:I38">-13.4091*G4</f>
        <v>-13.4091</v>
      </c>
      <c r="J4" s="50">
        <v>1</v>
      </c>
      <c r="K4" s="51"/>
      <c r="L4" s="52">
        <f aca="true" t="shared" si="3" ref="L4:L41">-15*J4</f>
        <v>-15</v>
      </c>
      <c r="M4" s="50"/>
      <c r="N4" s="51"/>
      <c r="O4" s="52">
        <f aca="true" t="shared" si="4" ref="O4:O41">-18.75*M4</f>
        <v>0</v>
      </c>
      <c r="P4" s="87">
        <v>1</v>
      </c>
      <c r="Q4" s="96"/>
      <c r="R4" s="52">
        <f aca="true" t="shared" si="5" ref="R4:R41">-14.7222*P4</f>
        <v>-14.7222</v>
      </c>
      <c r="S4" s="54"/>
      <c r="T4" s="53"/>
      <c r="U4" s="76">
        <f t="shared" si="0"/>
        <v>97.1511</v>
      </c>
      <c r="W4" s="86"/>
    </row>
    <row r="5" spans="1:23" ht="12.75">
      <c r="A5" s="2">
        <v>3</v>
      </c>
      <c r="B5" s="77" t="s">
        <v>35</v>
      </c>
      <c r="C5" s="49">
        <v>47.0485</v>
      </c>
      <c r="D5" s="50">
        <v>1</v>
      </c>
      <c r="E5" s="51"/>
      <c r="F5" s="52">
        <f t="shared" si="1"/>
        <v>-11.1111</v>
      </c>
      <c r="G5" s="50">
        <v>1</v>
      </c>
      <c r="H5" s="51"/>
      <c r="I5" s="52">
        <f t="shared" si="2"/>
        <v>-13.4091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-14.7222</v>
      </c>
      <c r="S5" s="50"/>
      <c r="T5" s="53"/>
      <c r="U5" s="76">
        <f t="shared" si="0"/>
        <v>-25.943900000000006</v>
      </c>
      <c r="W5" s="86"/>
    </row>
    <row r="6" spans="1:23" ht="12.75">
      <c r="A6" s="2">
        <v>4</v>
      </c>
      <c r="B6" s="110">
        <v>9631</v>
      </c>
      <c r="C6" s="55">
        <v>66.4455</v>
      </c>
      <c r="D6" s="60">
        <v>1</v>
      </c>
      <c r="E6" s="57"/>
      <c r="F6" s="58">
        <f t="shared" si="1"/>
        <v>-11.1111</v>
      </c>
      <c r="G6" s="60">
        <v>1</v>
      </c>
      <c r="H6" s="57"/>
      <c r="I6" s="58">
        <f t="shared" si="2"/>
        <v>-13.4091</v>
      </c>
      <c r="J6" s="60">
        <v>1</v>
      </c>
      <c r="K6" s="57"/>
      <c r="L6" s="58">
        <f t="shared" si="3"/>
        <v>-15</v>
      </c>
      <c r="M6" s="60"/>
      <c r="N6" s="57"/>
      <c r="O6" s="58">
        <f t="shared" si="4"/>
        <v>0</v>
      </c>
      <c r="P6" s="88">
        <v>1</v>
      </c>
      <c r="Q6" s="97"/>
      <c r="R6" s="58">
        <f t="shared" si="5"/>
        <v>-14.7222</v>
      </c>
      <c r="S6" s="60"/>
      <c r="T6" s="59"/>
      <c r="U6" s="76">
        <f t="shared" si="0"/>
        <v>12.203099999999992</v>
      </c>
      <c r="W6" s="86"/>
    </row>
    <row r="7" spans="1:23" ht="12.75">
      <c r="A7" s="2">
        <v>5</v>
      </c>
      <c r="B7" s="78" t="s">
        <v>36</v>
      </c>
      <c r="C7" s="55">
        <v>152.22</v>
      </c>
      <c r="D7" s="56">
        <v>1</v>
      </c>
      <c r="E7" s="57"/>
      <c r="F7" s="58">
        <f t="shared" si="1"/>
        <v>-11.1111</v>
      </c>
      <c r="G7" s="56">
        <v>1</v>
      </c>
      <c r="H7" s="57">
        <v>200</v>
      </c>
      <c r="I7" s="58">
        <f t="shared" si="2"/>
        <v>-13.4091</v>
      </c>
      <c r="J7" s="56">
        <v>1</v>
      </c>
      <c r="K7" s="57"/>
      <c r="L7" s="58">
        <f t="shared" si="3"/>
        <v>-15</v>
      </c>
      <c r="M7" s="56">
        <v>1</v>
      </c>
      <c r="N7" s="57"/>
      <c r="O7" s="58">
        <f t="shared" si="4"/>
        <v>-18.75</v>
      </c>
      <c r="P7" s="89">
        <v>1</v>
      </c>
      <c r="Q7" s="98"/>
      <c r="R7" s="58">
        <f t="shared" si="5"/>
        <v>-14.7222</v>
      </c>
      <c r="S7" s="56"/>
      <c r="T7" s="59">
        <v>-48</v>
      </c>
      <c r="U7" s="76">
        <f t="shared" si="0"/>
        <v>231.2276</v>
      </c>
      <c r="W7" s="86"/>
    </row>
    <row r="8" spans="1:23" ht="12.75">
      <c r="A8" s="2">
        <v>6</v>
      </c>
      <c r="B8" s="78" t="s">
        <v>12</v>
      </c>
      <c r="C8" s="55">
        <v>57.361</v>
      </c>
      <c r="D8" s="56">
        <v>1</v>
      </c>
      <c r="E8" s="57"/>
      <c r="F8" s="58">
        <f t="shared" si="1"/>
        <v>-11.1111</v>
      </c>
      <c r="G8" s="56">
        <v>1</v>
      </c>
      <c r="H8" s="57"/>
      <c r="I8" s="58">
        <f t="shared" si="2"/>
        <v>-13.4091</v>
      </c>
      <c r="J8" s="56">
        <v>1</v>
      </c>
      <c r="K8" s="57"/>
      <c r="L8" s="58">
        <f t="shared" si="3"/>
        <v>-15</v>
      </c>
      <c r="M8" s="56">
        <v>1</v>
      </c>
      <c r="N8" s="57">
        <v>200</v>
      </c>
      <c r="O8" s="58">
        <f t="shared" si="4"/>
        <v>-18.75</v>
      </c>
      <c r="P8" s="89">
        <v>1</v>
      </c>
      <c r="Q8" s="98"/>
      <c r="R8" s="58">
        <f t="shared" si="5"/>
        <v>-14.7222</v>
      </c>
      <c r="S8" s="60"/>
      <c r="T8" s="59"/>
      <c r="U8" s="76">
        <f t="shared" si="0"/>
        <v>184.36860000000001</v>
      </c>
      <c r="W8" s="86"/>
    </row>
    <row r="9" spans="1:23" ht="12.75">
      <c r="A9" s="2">
        <v>7</v>
      </c>
      <c r="B9" s="109" t="s">
        <v>37</v>
      </c>
      <c r="C9" s="67">
        <v>10.8991</v>
      </c>
      <c r="D9" s="68">
        <v>1</v>
      </c>
      <c r="E9" s="69"/>
      <c r="F9" s="70">
        <f t="shared" si="1"/>
        <v>-11.1111</v>
      </c>
      <c r="G9" s="68"/>
      <c r="H9" s="69"/>
      <c r="I9" s="70">
        <f t="shared" si="2"/>
        <v>0</v>
      </c>
      <c r="J9" s="68">
        <v>1</v>
      </c>
      <c r="K9" s="69">
        <v>100</v>
      </c>
      <c r="L9" s="70">
        <f t="shared" si="3"/>
        <v>-15</v>
      </c>
      <c r="M9" s="68"/>
      <c r="N9" s="69"/>
      <c r="O9" s="70">
        <f t="shared" si="4"/>
        <v>0</v>
      </c>
      <c r="P9" s="90"/>
      <c r="Q9" s="99"/>
      <c r="R9" s="70">
        <f t="shared" si="5"/>
        <v>0</v>
      </c>
      <c r="S9" s="68"/>
      <c r="T9" s="71"/>
      <c r="U9" s="76">
        <f t="shared" si="0"/>
        <v>84.788</v>
      </c>
      <c r="W9" s="86"/>
    </row>
    <row r="10" spans="1:23" ht="12.75">
      <c r="A10" s="2">
        <v>8</v>
      </c>
      <c r="B10" s="81" t="s">
        <v>13</v>
      </c>
      <c r="C10" s="67">
        <v>196.8435</v>
      </c>
      <c r="D10" s="72">
        <v>1</v>
      </c>
      <c r="E10" s="69"/>
      <c r="F10" s="70">
        <f t="shared" si="1"/>
        <v>-11.1111</v>
      </c>
      <c r="G10" s="72">
        <v>1</v>
      </c>
      <c r="H10" s="69"/>
      <c r="I10" s="70">
        <f t="shared" si="2"/>
        <v>-13.4091</v>
      </c>
      <c r="J10" s="72">
        <v>1</v>
      </c>
      <c r="K10" s="69"/>
      <c r="L10" s="70">
        <f t="shared" si="3"/>
        <v>-15</v>
      </c>
      <c r="M10" s="72">
        <v>1</v>
      </c>
      <c r="N10" s="69"/>
      <c r="O10" s="70">
        <f t="shared" si="4"/>
        <v>-18.75</v>
      </c>
      <c r="P10" s="91">
        <v>1</v>
      </c>
      <c r="Q10" s="100"/>
      <c r="R10" s="70">
        <f t="shared" si="5"/>
        <v>-14.7222</v>
      </c>
      <c r="S10" s="72"/>
      <c r="T10" s="71">
        <v>-48</v>
      </c>
      <c r="U10" s="76">
        <f t="shared" si="0"/>
        <v>75.85110000000002</v>
      </c>
      <c r="W10" s="86"/>
    </row>
    <row r="11" spans="1:23" ht="12.75">
      <c r="A11" s="2">
        <v>9</v>
      </c>
      <c r="B11" s="109" t="s">
        <v>40</v>
      </c>
      <c r="C11" s="67">
        <v>78.2095</v>
      </c>
      <c r="D11" s="68">
        <v>1</v>
      </c>
      <c r="E11" s="69"/>
      <c r="F11" s="70">
        <f t="shared" si="1"/>
        <v>-11.1111</v>
      </c>
      <c r="G11" s="68">
        <v>1</v>
      </c>
      <c r="H11" s="69"/>
      <c r="I11" s="70">
        <f t="shared" si="2"/>
        <v>-13.4091</v>
      </c>
      <c r="J11" s="68">
        <v>1</v>
      </c>
      <c r="K11" s="69"/>
      <c r="L11" s="70">
        <f t="shared" si="3"/>
        <v>-15</v>
      </c>
      <c r="M11" s="68">
        <v>1</v>
      </c>
      <c r="N11" s="69"/>
      <c r="O11" s="70">
        <f t="shared" si="4"/>
        <v>-18.75</v>
      </c>
      <c r="P11" s="90">
        <v>1</v>
      </c>
      <c r="Q11" s="99"/>
      <c r="R11" s="70">
        <f t="shared" si="5"/>
        <v>-14.7222</v>
      </c>
      <c r="S11" s="68"/>
      <c r="T11" s="71">
        <v>-48</v>
      </c>
      <c r="U11" s="76">
        <f t="shared" si="0"/>
        <v>-42.782900000000005</v>
      </c>
      <c r="W11" s="86"/>
    </row>
    <row r="12" spans="1:23" ht="12.75">
      <c r="A12" s="2">
        <v>10</v>
      </c>
      <c r="B12" s="79" t="s">
        <v>14</v>
      </c>
      <c r="C12" s="61">
        <v>-1.15</v>
      </c>
      <c r="D12" s="62">
        <v>1</v>
      </c>
      <c r="E12" s="63">
        <v>100</v>
      </c>
      <c r="F12" s="64">
        <f t="shared" si="1"/>
        <v>-11.1111</v>
      </c>
      <c r="G12" s="62">
        <v>1</v>
      </c>
      <c r="H12" s="63"/>
      <c r="I12" s="64">
        <f t="shared" si="2"/>
        <v>-13.4091</v>
      </c>
      <c r="J12" s="62">
        <v>1</v>
      </c>
      <c r="K12" s="63"/>
      <c r="L12" s="64">
        <f t="shared" si="3"/>
        <v>-15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-14.7222</v>
      </c>
      <c r="S12" s="62"/>
      <c r="T12" s="66"/>
      <c r="U12" s="76">
        <f t="shared" si="0"/>
        <v>44.607600000000005</v>
      </c>
      <c r="W12" s="86"/>
    </row>
    <row r="13" spans="1:23" ht="12.75">
      <c r="A13" s="2">
        <v>11</v>
      </c>
      <c r="B13" s="79" t="s">
        <v>38</v>
      </c>
      <c r="C13" s="61">
        <v>60.5007</v>
      </c>
      <c r="D13" s="62">
        <v>1</v>
      </c>
      <c r="E13" s="63"/>
      <c r="F13" s="64">
        <f t="shared" si="1"/>
        <v>-11.1111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-14.7222</v>
      </c>
      <c r="S13" s="65"/>
      <c r="T13" s="66"/>
      <c r="U13" s="76">
        <f t="shared" si="0"/>
        <v>34.6674</v>
      </c>
      <c r="W13" s="86"/>
    </row>
    <row r="14" spans="1:23" ht="12.75">
      <c r="A14" s="2">
        <v>12</v>
      </c>
      <c r="B14" s="79" t="s">
        <v>15</v>
      </c>
      <c r="C14" s="61">
        <v>71.6075</v>
      </c>
      <c r="D14" s="62">
        <v>1</v>
      </c>
      <c r="E14" s="63"/>
      <c r="F14" s="64">
        <f t="shared" si="1"/>
        <v>-11.1111</v>
      </c>
      <c r="G14" s="62">
        <v>1</v>
      </c>
      <c r="H14" s="63"/>
      <c r="I14" s="64">
        <f t="shared" si="2"/>
        <v>-13.4091</v>
      </c>
      <c r="J14" s="62">
        <v>1</v>
      </c>
      <c r="K14" s="63"/>
      <c r="L14" s="64">
        <f t="shared" si="3"/>
        <v>-15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>
        <v>-48</v>
      </c>
      <c r="U14" s="76">
        <f t="shared" si="0"/>
        <v>-15.912700000000001</v>
      </c>
      <c r="W14" s="86"/>
    </row>
    <row r="15" spans="1:23" ht="12.75">
      <c r="A15" s="2">
        <v>13</v>
      </c>
      <c r="B15" s="80" t="s">
        <v>16</v>
      </c>
      <c r="C15" s="43">
        <v>143.4356</v>
      </c>
      <c r="D15" s="44">
        <v>1</v>
      </c>
      <c r="E15" s="45"/>
      <c r="F15" s="46">
        <f t="shared" si="1"/>
        <v>-11.1111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-15</v>
      </c>
      <c r="M15" s="44">
        <v>1</v>
      </c>
      <c r="N15" s="45">
        <v>100</v>
      </c>
      <c r="O15" s="46">
        <f t="shared" si="4"/>
        <v>-18.75</v>
      </c>
      <c r="P15" s="93">
        <v>1</v>
      </c>
      <c r="Q15" s="102"/>
      <c r="R15" s="46">
        <f t="shared" si="5"/>
        <v>-14.7222</v>
      </c>
      <c r="S15" s="48"/>
      <c r="T15" s="47">
        <v>-48</v>
      </c>
      <c r="U15" s="76">
        <f t="shared" si="0"/>
        <v>135.8523</v>
      </c>
      <c r="W15" s="86"/>
    </row>
    <row r="16" spans="1:23" ht="12.75">
      <c r="A16" s="2">
        <v>14</v>
      </c>
      <c r="B16" s="80" t="s">
        <v>17</v>
      </c>
      <c r="C16" s="43">
        <v>-27.4165</v>
      </c>
      <c r="D16" s="44">
        <v>1</v>
      </c>
      <c r="E16" s="45">
        <v>100</v>
      </c>
      <c r="F16" s="46">
        <f t="shared" si="1"/>
        <v>-11.1111</v>
      </c>
      <c r="G16" s="44">
        <v>1</v>
      </c>
      <c r="H16" s="45"/>
      <c r="I16" s="46">
        <f>-13.4091*G16-5</f>
        <v>-18.409100000000002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-18.75</v>
      </c>
      <c r="P16" s="93">
        <v>1</v>
      </c>
      <c r="Q16" s="102"/>
      <c r="R16" s="46">
        <f t="shared" si="5"/>
        <v>-14.7222</v>
      </c>
      <c r="S16" s="44"/>
      <c r="T16" s="47"/>
      <c r="U16" s="76">
        <f t="shared" si="0"/>
        <v>-5.408900000000003</v>
      </c>
      <c r="W16" s="86"/>
    </row>
    <row r="17" spans="1:23" ht="12.75">
      <c r="A17" s="2">
        <v>15</v>
      </c>
      <c r="B17" s="80" t="s">
        <v>18</v>
      </c>
      <c r="C17" s="43">
        <v>16.0539</v>
      </c>
      <c r="D17" s="44">
        <v>1</v>
      </c>
      <c r="E17" s="45"/>
      <c r="F17" s="46">
        <f t="shared" si="1"/>
        <v>-11.1111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/>
      <c r="T17" s="47"/>
      <c r="U17" s="76">
        <f t="shared" si="0"/>
        <v>4.942799999999998</v>
      </c>
      <c r="W17" s="86"/>
    </row>
    <row r="18" spans="1:23" ht="12.75">
      <c r="A18" s="2">
        <v>16</v>
      </c>
      <c r="B18" s="77" t="s">
        <v>19</v>
      </c>
      <c r="C18" s="49">
        <v>29.6241</v>
      </c>
      <c r="D18" s="50">
        <v>1</v>
      </c>
      <c r="E18" s="51"/>
      <c r="F18" s="52">
        <f t="shared" si="1"/>
        <v>-11.1111</v>
      </c>
      <c r="G18" s="50">
        <v>1</v>
      </c>
      <c r="H18" s="51"/>
      <c r="I18" s="52">
        <f t="shared" si="2"/>
        <v>-13.4091</v>
      </c>
      <c r="J18" s="50">
        <v>1</v>
      </c>
      <c r="K18" s="51">
        <v>100</v>
      </c>
      <c r="L18" s="52">
        <f t="shared" si="3"/>
        <v>-15</v>
      </c>
      <c r="M18" s="50">
        <v>1</v>
      </c>
      <c r="N18" s="51"/>
      <c r="O18" s="52">
        <f t="shared" si="4"/>
        <v>-18.75</v>
      </c>
      <c r="P18" s="87">
        <v>1</v>
      </c>
      <c r="Q18" s="96"/>
      <c r="R18" s="52">
        <f t="shared" si="5"/>
        <v>-14.7222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20</v>
      </c>
      <c r="C19" s="49">
        <v>86.0572</v>
      </c>
      <c r="D19" s="50">
        <v>1</v>
      </c>
      <c r="E19" s="51"/>
      <c r="F19" s="52">
        <f t="shared" si="1"/>
        <v>-11.1111</v>
      </c>
      <c r="G19" s="50">
        <v>1</v>
      </c>
      <c r="H19" s="51"/>
      <c r="I19" s="52">
        <f t="shared" si="2"/>
        <v>-13.4091</v>
      </c>
      <c r="J19" s="50">
        <v>1</v>
      </c>
      <c r="K19" s="51"/>
      <c r="L19" s="52">
        <f t="shared" si="3"/>
        <v>-15</v>
      </c>
      <c r="M19" s="50"/>
      <c r="N19" s="51"/>
      <c r="O19" s="52">
        <f t="shared" si="4"/>
        <v>0</v>
      </c>
      <c r="P19" s="87">
        <v>1</v>
      </c>
      <c r="Q19" s="96">
        <v>100</v>
      </c>
      <c r="R19" s="52">
        <f t="shared" si="5"/>
        <v>-14.7222</v>
      </c>
      <c r="S19" s="54"/>
      <c r="T19" s="53">
        <v>-48</v>
      </c>
      <c r="U19" s="76">
        <f t="shared" si="0"/>
        <v>83.8148</v>
      </c>
      <c r="W19" s="86"/>
    </row>
    <row r="20" spans="1:23" ht="12.75">
      <c r="A20" s="2">
        <v>18</v>
      </c>
      <c r="B20" s="77" t="s">
        <v>21</v>
      </c>
      <c r="C20" s="49">
        <v>52.4331</v>
      </c>
      <c r="D20" s="50">
        <v>1</v>
      </c>
      <c r="E20" s="51"/>
      <c r="F20" s="52">
        <f t="shared" si="1"/>
        <v>-11.1111</v>
      </c>
      <c r="G20" s="50">
        <v>1</v>
      </c>
      <c r="H20" s="51"/>
      <c r="I20" s="52">
        <f t="shared" si="2"/>
        <v>-13.4091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>
        <v>100</v>
      </c>
      <c r="R20" s="52">
        <f t="shared" si="5"/>
        <v>-14.7222</v>
      </c>
      <c r="S20" s="50"/>
      <c r="T20" s="53"/>
      <c r="U20" s="76">
        <f t="shared" si="0"/>
        <v>113.1907</v>
      </c>
      <c r="W20" s="86"/>
    </row>
    <row r="21" spans="1:23" ht="12.75">
      <c r="A21" s="2">
        <v>19</v>
      </c>
      <c r="B21" s="78" t="s">
        <v>41</v>
      </c>
      <c r="C21" s="55">
        <v>-17.3203</v>
      </c>
      <c r="D21" s="56">
        <v>1</v>
      </c>
      <c r="E21" s="57"/>
      <c r="F21" s="58">
        <f t="shared" si="1"/>
        <v>-11.1111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42</v>
      </c>
      <c r="C22" s="55">
        <v>93.3318</v>
      </c>
      <c r="D22" s="56">
        <v>1</v>
      </c>
      <c r="E22" s="57"/>
      <c r="F22" s="58">
        <f t="shared" si="1"/>
        <v>-11.1111</v>
      </c>
      <c r="G22" s="56">
        <v>1</v>
      </c>
      <c r="H22" s="57"/>
      <c r="I22" s="58">
        <f t="shared" si="2"/>
        <v>-13.4091</v>
      </c>
      <c r="J22" s="56">
        <v>1</v>
      </c>
      <c r="K22" s="57"/>
      <c r="L22" s="58">
        <f t="shared" si="3"/>
        <v>-15</v>
      </c>
      <c r="M22" s="56">
        <v>1</v>
      </c>
      <c r="N22" s="57">
        <v>100</v>
      </c>
      <c r="O22" s="58">
        <f t="shared" si="4"/>
        <v>-18.75</v>
      </c>
      <c r="P22" s="89">
        <v>1</v>
      </c>
      <c r="Q22" s="98"/>
      <c r="R22" s="58">
        <f t="shared" si="5"/>
        <v>-14.7222</v>
      </c>
      <c r="S22" s="56"/>
      <c r="T22" s="59">
        <v>-48</v>
      </c>
      <c r="U22" s="76">
        <f t="shared" si="0"/>
        <v>72.3394</v>
      </c>
      <c r="W22" s="86"/>
    </row>
    <row r="23" spans="1:23" ht="12.75">
      <c r="A23" s="2">
        <v>21</v>
      </c>
      <c r="B23" s="78" t="s">
        <v>43</v>
      </c>
      <c r="C23" s="55">
        <v>338.2772</v>
      </c>
      <c r="D23" s="56">
        <v>1</v>
      </c>
      <c r="E23" s="57"/>
      <c r="F23" s="58">
        <f t="shared" si="1"/>
        <v>-11.1111</v>
      </c>
      <c r="G23" s="56">
        <v>1</v>
      </c>
      <c r="H23" s="57"/>
      <c r="I23" s="58">
        <f t="shared" si="2"/>
        <v>-13.4091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-18.75</v>
      </c>
      <c r="P23" s="89"/>
      <c r="Q23" s="98"/>
      <c r="R23" s="58">
        <f t="shared" si="5"/>
        <v>0</v>
      </c>
      <c r="S23" s="60"/>
      <c r="T23" s="59">
        <v>-48</v>
      </c>
      <c r="U23" s="76">
        <f t="shared" si="0"/>
        <v>232.00699999999995</v>
      </c>
      <c r="W23" s="86"/>
    </row>
    <row r="24" spans="1:23" ht="12.75">
      <c r="A24" s="2">
        <v>22</v>
      </c>
      <c r="B24" s="81" t="s">
        <v>22</v>
      </c>
      <c r="C24" s="67">
        <v>79.5976</v>
      </c>
      <c r="D24" s="68">
        <v>1</v>
      </c>
      <c r="E24" s="69"/>
      <c r="F24" s="70">
        <f t="shared" si="1"/>
        <v>-11.1111</v>
      </c>
      <c r="G24" s="68">
        <v>1</v>
      </c>
      <c r="H24" s="69"/>
      <c r="I24" s="70">
        <f t="shared" si="2"/>
        <v>-13.4091</v>
      </c>
      <c r="J24" s="68"/>
      <c r="K24" s="69"/>
      <c r="L24" s="70">
        <f t="shared" si="3"/>
        <v>0</v>
      </c>
      <c r="M24" s="68">
        <v>1</v>
      </c>
      <c r="N24" s="69"/>
      <c r="O24" s="70">
        <f t="shared" si="4"/>
        <v>-18.75</v>
      </c>
      <c r="P24" s="90"/>
      <c r="Q24" s="99"/>
      <c r="R24" s="70">
        <f t="shared" si="5"/>
        <v>0</v>
      </c>
      <c r="S24" s="68"/>
      <c r="T24" s="71"/>
      <c r="U24" s="76">
        <f t="shared" si="0"/>
        <v>36.327400000000004</v>
      </c>
      <c r="W24" s="86"/>
    </row>
    <row r="25" spans="1:23" ht="12.75">
      <c r="A25" s="2">
        <v>23</v>
      </c>
      <c r="B25" s="81" t="s">
        <v>23</v>
      </c>
      <c r="C25" s="67">
        <v>55.7212</v>
      </c>
      <c r="D25" s="68">
        <v>1</v>
      </c>
      <c r="E25" s="69"/>
      <c r="F25" s="70">
        <f t="shared" si="1"/>
        <v>-11.1111</v>
      </c>
      <c r="G25" s="68">
        <v>1</v>
      </c>
      <c r="H25" s="69"/>
      <c r="I25" s="70">
        <f t="shared" si="2"/>
        <v>-13.4091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24</v>
      </c>
      <c r="C26" s="67">
        <v>52.4388</v>
      </c>
      <c r="D26" s="68">
        <v>1</v>
      </c>
      <c r="E26" s="69"/>
      <c r="F26" s="70">
        <f t="shared" si="1"/>
        <v>-11.1111</v>
      </c>
      <c r="G26" s="68">
        <v>1</v>
      </c>
      <c r="H26" s="69"/>
      <c r="I26" s="70">
        <f t="shared" si="2"/>
        <v>-13.4091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27.918599999999998</v>
      </c>
      <c r="W26" s="86"/>
    </row>
    <row r="27" spans="1:23" ht="12.75">
      <c r="A27" s="2">
        <v>25</v>
      </c>
      <c r="B27" s="79" t="s">
        <v>47</v>
      </c>
      <c r="C27" s="61">
        <v>-17.9806</v>
      </c>
      <c r="D27" s="62">
        <v>1</v>
      </c>
      <c r="E27" s="73"/>
      <c r="F27" s="64">
        <f t="shared" si="1"/>
        <v>-11.1111</v>
      </c>
      <c r="G27" s="62">
        <v>1</v>
      </c>
      <c r="H27" s="73"/>
      <c r="I27" s="64">
        <f t="shared" si="2"/>
        <v>-13.4091</v>
      </c>
      <c r="J27" s="62"/>
      <c r="K27" s="73"/>
      <c r="L27" s="64">
        <f t="shared" si="3"/>
        <v>0</v>
      </c>
      <c r="M27" s="62">
        <v>1</v>
      </c>
      <c r="N27" s="73">
        <v>200</v>
      </c>
      <c r="O27" s="64">
        <f t="shared" si="4"/>
        <v>-18.75</v>
      </c>
      <c r="P27" s="92">
        <v>1</v>
      </c>
      <c r="Q27" s="101"/>
      <c r="R27" s="64">
        <f t="shared" si="5"/>
        <v>-14.7222</v>
      </c>
      <c r="S27" s="62"/>
      <c r="T27" s="66"/>
      <c r="U27" s="76">
        <f t="shared" si="0"/>
        <v>124.027</v>
      </c>
      <c r="W27" s="86"/>
    </row>
    <row r="28" spans="1:23" ht="12.75">
      <c r="A28" s="2">
        <v>26</v>
      </c>
      <c r="B28" s="79" t="s">
        <v>44</v>
      </c>
      <c r="C28" s="61">
        <v>12.1513</v>
      </c>
      <c r="D28" s="65">
        <v>1</v>
      </c>
      <c r="E28" s="73"/>
      <c r="F28" s="64">
        <f t="shared" si="1"/>
        <v>-11.1111</v>
      </c>
      <c r="G28" s="65">
        <v>1</v>
      </c>
      <c r="H28" s="73"/>
      <c r="I28" s="64">
        <f t="shared" si="2"/>
        <v>-13.4091</v>
      </c>
      <c r="J28" s="65">
        <v>1</v>
      </c>
      <c r="K28" s="73"/>
      <c r="L28" s="64">
        <f t="shared" si="3"/>
        <v>-15</v>
      </c>
      <c r="M28" s="65">
        <v>1</v>
      </c>
      <c r="N28" s="73"/>
      <c r="O28" s="64">
        <f t="shared" si="4"/>
        <v>-18.75</v>
      </c>
      <c r="P28" s="94">
        <v>1</v>
      </c>
      <c r="Q28" s="103">
        <v>500</v>
      </c>
      <c r="R28" s="64">
        <f t="shared" si="5"/>
        <v>-14.7222</v>
      </c>
      <c r="S28" s="65"/>
      <c r="T28" s="66"/>
      <c r="U28" s="76">
        <f t="shared" si="0"/>
        <v>439.1589</v>
      </c>
      <c r="W28" s="86"/>
    </row>
    <row r="29" spans="1:23" ht="12.75">
      <c r="A29" s="2">
        <v>27</v>
      </c>
      <c r="B29" s="79" t="s">
        <v>45</v>
      </c>
      <c r="C29" s="61">
        <v>108.9528</v>
      </c>
      <c r="D29" s="62">
        <v>1</v>
      </c>
      <c r="E29" s="63"/>
      <c r="F29" s="64">
        <f t="shared" si="1"/>
        <v>-11.1111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-15</v>
      </c>
      <c r="M29" s="62">
        <v>1</v>
      </c>
      <c r="N29" s="63"/>
      <c r="O29" s="64">
        <f t="shared" si="4"/>
        <v>-18.75</v>
      </c>
      <c r="P29" s="92"/>
      <c r="Q29" s="101"/>
      <c r="R29" s="64">
        <f t="shared" si="5"/>
        <v>0</v>
      </c>
      <c r="S29" s="62"/>
      <c r="T29" s="66"/>
      <c r="U29" s="76">
        <f t="shared" si="0"/>
        <v>64.0917</v>
      </c>
      <c r="W29" s="86"/>
    </row>
    <row r="30" spans="1:23" ht="12.75">
      <c r="A30" s="2">
        <v>28</v>
      </c>
      <c r="B30" s="80" t="s">
        <v>46</v>
      </c>
      <c r="C30" s="43">
        <v>32.978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>
        <v>-48</v>
      </c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v>85.8779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-13.4091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-18.75</v>
      </c>
      <c r="P31" s="93"/>
      <c r="Q31" s="102"/>
      <c r="R31" s="46">
        <f t="shared" si="5"/>
        <v>0</v>
      </c>
      <c r="S31" s="44"/>
      <c r="T31" s="47"/>
      <c r="U31" s="76">
        <f t="shared" si="0"/>
        <v>53.7188</v>
      </c>
      <c r="W31" s="86"/>
    </row>
    <row r="32" spans="1:23" ht="12.75">
      <c r="A32" s="2">
        <v>30</v>
      </c>
      <c r="B32" s="80" t="s">
        <v>54</v>
      </c>
      <c r="C32" s="43">
        <v>0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>
        <v>1</v>
      </c>
      <c r="K32" s="74">
        <v>200</v>
      </c>
      <c r="L32" s="46">
        <f t="shared" si="3"/>
        <v>-15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185</v>
      </c>
      <c r="W32" s="86"/>
    </row>
    <row r="33" spans="1:23" ht="12.75">
      <c r="A33" s="2">
        <v>31</v>
      </c>
      <c r="B33" s="77"/>
      <c r="C33" s="49"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>
        <f t="shared" si="4"/>
        <v>0</v>
      </c>
      <c r="P33" s="87"/>
      <c r="Q33" s="96"/>
      <c r="R33" s="52">
        <f t="shared" si="5"/>
        <v>0</v>
      </c>
      <c r="S33" s="50"/>
      <c r="T33" s="53"/>
      <c r="U33" s="76">
        <f t="shared" si="0"/>
        <v>0</v>
      </c>
      <c r="W33" s="86"/>
    </row>
    <row r="34" spans="1:23" ht="12.75">
      <c r="A34" s="2">
        <v>32</v>
      </c>
      <c r="B34" s="77"/>
      <c r="C34" s="49"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aca="true" t="shared" si="6" ref="U35:U41">C35+E35+F35+H35+I35+K35+L35+N35+O35+T35+Q35+R35</f>
        <v>0</v>
      </c>
      <c r="W35" s="86"/>
    </row>
    <row r="36" spans="1:23" ht="12.75">
      <c r="A36" s="2">
        <v>34</v>
      </c>
      <c r="B36" s="78" t="s">
        <v>39</v>
      </c>
      <c r="C36" s="55"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6"/>
        <v>3.7033</v>
      </c>
      <c r="W36" s="86"/>
    </row>
    <row r="37" spans="1:23" ht="12.75">
      <c r="A37" s="2">
        <v>35</v>
      </c>
      <c r="B37" s="78"/>
      <c r="C37" s="55"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6"/>
        <v>0</v>
      </c>
      <c r="V37" s="28"/>
      <c r="W37" s="86"/>
    </row>
    <row r="38" spans="1:23" ht="12.75">
      <c r="A38" s="2">
        <v>36</v>
      </c>
      <c r="B38" s="78"/>
      <c r="C38" s="55"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6"/>
        <v>0</v>
      </c>
      <c r="W38" s="86"/>
    </row>
    <row r="39" spans="1:23" ht="12.75">
      <c r="A39" s="2">
        <v>37</v>
      </c>
      <c r="B39" s="81"/>
      <c r="C39" s="67">
        <v>0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6"/>
        <v>0</v>
      </c>
      <c r="W39" s="86"/>
    </row>
    <row r="40" spans="1:23" ht="12.75">
      <c r="A40" s="2">
        <v>38</v>
      </c>
      <c r="B40" s="81"/>
      <c r="C40" s="67">
        <v>0</v>
      </c>
      <c r="D40" s="68"/>
      <c r="E40" s="69"/>
      <c r="F40" s="70">
        <f t="shared" si="1"/>
        <v>0</v>
      </c>
      <c r="G40" s="68"/>
      <c r="H40" s="69"/>
      <c r="I40" s="70"/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6"/>
        <v>0</v>
      </c>
      <c r="W40" s="86"/>
    </row>
    <row r="41" spans="1:23" ht="12.75">
      <c r="A41" s="2">
        <v>39</v>
      </c>
      <c r="B41" s="81"/>
      <c r="C41" s="67"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6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27</v>
      </c>
      <c r="F43" s="1">
        <f>E54/D43</f>
        <v>11.11111111111111</v>
      </c>
      <c r="G43" s="1">
        <f>SUM(G3:G41)</f>
        <v>22</v>
      </c>
      <c r="I43" s="1">
        <f>H54/G43</f>
        <v>13.409090909090908</v>
      </c>
      <c r="J43" s="1">
        <f>SUM(J3:J41)</f>
        <v>20</v>
      </c>
      <c r="L43" s="1">
        <f>K54/J43</f>
        <v>15</v>
      </c>
      <c r="M43" s="1">
        <f>SUM(M3:M41)</f>
        <v>16</v>
      </c>
      <c r="O43" s="1">
        <f>N54/M43</f>
        <v>18.75</v>
      </c>
      <c r="P43" s="1">
        <f>SUM(P3:P41)</f>
        <v>18</v>
      </c>
      <c r="R43" s="1">
        <f>Q54/P43</f>
        <v>14.722222222222221</v>
      </c>
      <c r="S43" s="1">
        <f>SUM(S3:S42)</f>
        <v>0</v>
      </c>
      <c r="T43" s="27">
        <f>SUM(T3:T41)</f>
        <v>-480</v>
      </c>
      <c r="U43" s="23"/>
    </row>
    <row r="44" spans="4:18" ht="12.75">
      <c r="D44" s="33" t="s">
        <v>25</v>
      </c>
      <c r="F44" s="34" t="s">
        <v>26</v>
      </c>
      <c r="G44" s="33" t="s">
        <v>25</v>
      </c>
      <c r="I44" s="34" t="s">
        <v>26</v>
      </c>
      <c r="J44" s="33" t="s">
        <v>25</v>
      </c>
      <c r="L44" s="34" t="s">
        <v>26</v>
      </c>
      <c r="M44" s="33" t="s">
        <v>25</v>
      </c>
      <c r="O44" s="34" t="s">
        <v>26</v>
      </c>
      <c r="P44" s="33" t="s">
        <v>25</v>
      </c>
      <c r="R44" s="34" t="s">
        <v>26</v>
      </c>
    </row>
    <row r="45" spans="5:21" ht="12.75">
      <c r="E45" s="28" t="s">
        <v>27</v>
      </c>
      <c r="F45" s="1">
        <f>SUM(F3:F41)</f>
        <v>-299.99969999999996</v>
      </c>
      <c r="H45" s="28" t="s">
        <v>27</v>
      </c>
      <c r="I45" s="1">
        <f>SUM(I3:I41)</f>
        <v>-300.0002</v>
      </c>
      <c r="K45" s="28" t="s">
        <v>27</v>
      </c>
      <c r="L45" s="1">
        <f>SUM(L3:L41)</f>
        <v>-300</v>
      </c>
      <c r="N45" s="28" t="s">
        <v>27</v>
      </c>
      <c r="O45" s="1">
        <f>SUM(O3:O41)</f>
        <v>-300</v>
      </c>
      <c r="Q45" s="28" t="s">
        <v>27</v>
      </c>
      <c r="R45" s="1">
        <f>SUM(R3:R41)</f>
        <v>-264.9995999999999</v>
      </c>
      <c r="U45" s="19"/>
    </row>
    <row r="46" spans="2:21" ht="12.75">
      <c r="B46" s="29" t="s">
        <v>28</v>
      </c>
      <c r="C46" s="27">
        <f>SUM(C3:C41)</f>
        <v>2065.4603999999995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2335.0005000000006</v>
      </c>
      <c r="W47" s="86">
        <f>U47</f>
        <v>2335.0005000000006</v>
      </c>
    </row>
    <row r="48" spans="2:20" ht="12.75" customHeight="1">
      <c r="B48" s="86"/>
      <c r="D48" s="117" t="s">
        <v>48</v>
      </c>
      <c r="E48" s="118"/>
      <c r="F48" s="119"/>
      <c r="G48" s="117" t="s">
        <v>49</v>
      </c>
      <c r="H48" s="118"/>
      <c r="I48" s="119"/>
      <c r="J48" s="117" t="s">
        <v>50</v>
      </c>
      <c r="K48" s="118"/>
      <c r="L48" s="119"/>
      <c r="M48" s="117" t="s">
        <v>51</v>
      </c>
      <c r="N48" s="118"/>
      <c r="O48" s="119"/>
      <c r="P48" s="117" t="s">
        <v>55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29</v>
      </c>
      <c r="E54" s="36">
        <f>E56-E72-E81</f>
        <v>300</v>
      </c>
      <c r="F54" s="37"/>
      <c r="G54" s="38" t="s">
        <v>29</v>
      </c>
      <c r="H54" s="36">
        <f>H56-H72-H81</f>
        <v>295</v>
      </c>
      <c r="I54" s="37"/>
      <c r="J54" s="38" t="s">
        <v>29</v>
      </c>
      <c r="K54" s="36">
        <f>K56-K72-K81</f>
        <v>300</v>
      </c>
      <c r="L54" s="37"/>
      <c r="M54" s="38" t="s">
        <v>29</v>
      </c>
      <c r="N54" s="36">
        <f>N56-N72-N81</f>
        <v>300</v>
      </c>
      <c r="O54" s="37"/>
      <c r="P54" s="38" t="s">
        <v>29</v>
      </c>
      <c r="Q54" s="36">
        <f>Q56-Q72-Q81</f>
        <v>265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30</v>
      </c>
      <c r="E56" s="39">
        <v>300</v>
      </c>
      <c r="F56" s="40"/>
      <c r="G56" s="83" t="s">
        <v>30</v>
      </c>
      <c r="H56" s="39">
        <v>300</v>
      </c>
      <c r="I56" s="40"/>
      <c r="J56" s="83" t="s">
        <v>30</v>
      </c>
      <c r="K56" s="39">
        <v>300</v>
      </c>
      <c r="L56" s="40"/>
      <c r="M56" s="83" t="s">
        <v>30</v>
      </c>
      <c r="N56" s="39">
        <v>300</v>
      </c>
      <c r="O56" s="40"/>
      <c r="P56" s="83" t="s">
        <v>30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 t="s">
        <v>56</v>
      </c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31</v>
      </c>
      <c r="E68" s="112"/>
      <c r="G68" s="111" t="s">
        <v>31</v>
      </c>
      <c r="H68" s="112"/>
      <c r="J68" s="111" t="s">
        <v>31</v>
      </c>
      <c r="K68" s="112"/>
      <c r="M68" s="111" t="s">
        <v>31</v>
      </c>
      <c r="N68" s="112"/>
      <c r="P68" s="111" t="s">
        <v>31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>
        <v>35</v>
      </c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32</v>
      </c>
      <c r="E75" s="112"/>
      <c r="G75" s="111" t="s">
        <v>32</v>
      </c>
      <c r="H75" s="112"/>
      <c r="J75" s="111" t="s">
        <v>32</v>
      </c>
      <c r="K75" s="112"/>
      <c r="M75" s="111" t="s">
        <v>32</v>
      </c>
      <c r="N75" s="112"/>
      <c r="P75" s="111" t="s">
        <v>32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 t="s">
        <v>53</v>
      </c>
      <c r="H77" s="1">
        <v>5</v>
      </c>
      <c r="J77" s="105"/>
      <c r="K77" s="28"/>
      <c r="M77" s="105"/>
      <c r="P77" s="105"/>
    </row>
    <row r="81" spans="7:8" ht="12.75">
      <c r="G81" s="28"/>
      <c r="H81" s="1">
        <f>SUM(H77:H79)</f>
        <v>5</v>
      </c>
    </row>
    <row r="83" spans="4:18" ht="12.75" customHeight="1">
      <c r="D83" s="115" t="s">
        <v>33</v>
      </c>
      <c r="E83" s="115"/>
      <c r="F83" s="115"/>
      <c r="G83" s="115" t="s">
        <v>33</v>
      </c>
      <c r="H83" s="115"/>
      <c r="I83" s="115"/>
      <c r="J83" s="115" t="s">
        <v>33</v>
      </c>
      <c r="K83" s="115"/>
      <c r="L83" s="115"/>
      <c r="M83" s="115" t="s">
        <v>33</v>
      </c>
      <c r="N83" s="115"/>
      <c r="O83" s="115"/>
      <c r="P83" s="115" t="s">
        <v>33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ht="12.75">
      <c r="P88" s="28"/>
    </row>
    <row r="89" ht="12.75">
      <c r="P89" s="28"/>
    </row>
    <row r="90" spans="4:18" ht="12.75">
      <c r="D90" s="114" t="s">
        <v>29</v>
      </c>
      <c r="E90" s="112"/>
      <c r="F90" s="112"/>
      <c r="G90" s="114" t="s">
        <v>29</v>
      </c>
      <c r="H90" s="112"/>
      <c r="I90" s="112"/>
      <c r="J90" s="114" t="s">
        <v>29</v>
      </c>
      <c r="K90" s="112"/>
      <c r="L90" s="112"/>
      <c r="M90" s="114" t="s">
        <v>29</v>
      </c>
      <c r="N90" s="112"/>
      <c r="O90" s="112"/>
      <c r="P90" s="114" t="s">
        <v>29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D68:E68"/>
    <mergeCell ref="D65:F67"/>
    <mergeCell ref="S47:T47"/>
    <mergeCell ref="J48:L52"/>
    <mergeCell ref="M48:O52"/>
    <mergeCell ref="M62:O64"/>
    <mergeCell ref="P48:R52"/>
    <mergeCell ref="P62:R64"/>
    <mergeCell ref="S48:T52"/>
    <mergeCell ref="J60:L60"/>
    <mergeCell ref="M68:N68"/>
    <mergeCell ref="G75:H75"/>
    <mergeCell ref="G83:I85"/>
    <mergeCell ref="J83:L85"/>
    <mergeCell ref="M75:N75"/>
    <mergeCell ref="J68:K68"/>
    <mergeCell ref="P90:R91"/>
    <mergeCell ref="M83:O85"/>
    <mergeCell ref="P83:R85"/>
    <mergeCell ref="M90:O91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K96:L96"/>
    <mergeCell ref="K97:L97"/>
    <mergeCell ref="K98:L98"/>
    <mergeCell ref="K92:L92"/>
    <mergeCell ref="K93:L93"/>
    <mergeCell ref="K94:L94"/>
    <mergeCell ref="K95:L95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4" sqref="Q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41630</v>
      </c>
      <c r="E1" s="126"/>
      <c r="F1" s="127"/>
      <c r="G1" s="16"/>
      <c r="H1" s="24">
        <v>41637</v>
      </c>
      <c r="I1" s="17"/>
      <c r="J1" s="30"/>
      <c r="K1" s="24">
        <v>41640</v>
      </c>
      <c r="L1" s="31"/>
      <c r="M1" s="16"/>
      <c r="N1" s="24">
        <v>41644</v>
      </c>
      <c r="O1" s="17"/>
      <c r="P1" s="16"/>
      <c r="Q1" s="24">
        <v>41286</v>
      </c>
      <c r="R1" s="17"/>
      <c r="S1" s="128" t="s">
        <v>209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'2013年12月'!U3</f>
        <v>37.988790000000016</v>
      </c>
      <c r="D3" s="50">
        <v>1</v>
      </c>
      <c r="E3" s="51"/>
      <c r="F3" s="52">
        <f>-12.6087*D3</f>
        <v>-12.6087</v>
      </c>
      <c r="G3" s="50">
        <v>1</v>
      </c>
      <c r="H3" s="51"/>
      <c r="I3" s="52">
        <f>-11.8*G3</f>
        <v>-11.8</v>
      </c>
      <c r="J3" s="50">
        <v>1</v>
      </c>
      <c r="K3" s="51">
        <v>210</v>
      </c>
      <c r="L3" s="52">
        <f>-18.75*J3</f>
        <v>-18.75</v>
      </c>
      <c r="M3" s="50">
        <v>1</v>
      </c>
      <c r="N3" s="51"/>
      <c r="O3" s="52">
        <f>-13.1818*M3</f>
        <v>-13.1818</v>
      </c>
      <c r="P3" s="87">
        <v>1</v>
      </c>
      <c r="Q3" s="96"/>
      <c r="R3" s="52">
        <f>-15*P3</f>
        <v>-15</v>
      </c>
      <c r="S3" s="50">
        <v>1</v>
      </c>
      <c r="T3" s="53">
        <f>-91*S3</f>
        <v>-91</v>
      </c>
      <c r="U3" s="76">
        <f aca="true" t="shared" si="0" ref="U3:U41">C3+E3+F3+H3+I3+K3+L3+N3+O3+T3+Q3+R3</f>
        <v>85.64829</v>
      </c>
      <c r="W3" s="86"/>
    </row>
    <row r="4" spans="1:23" ht="12.75">
      <c r="A4" s="2">
        <v>2</v>
      </c>
      <c r="B4" s="75" t="s">
        <v>3</v>
      </c>
      <c r="C4" s="49">
        <f>'2013年12月'!U4</f>
        <v>170.30489000000003</v>
      </c>
      <c r="D4" s="50"/>
      <c r="E4" s="51"/>
      <c r="F4" s="52">
        <f aca="true" t="shared" si="1" ref="F4:F41">-12.6087*D4</f>
        <v>0</v>
      </c>
      <c r="G4" s="50">
        <v>1</v>
      </c>
      <c r="H4" s="51"/>
      <c r="I4" s="52">
        <f aca="true" t="shared" si="2" ref="I4:I41">-11.8*G4</f>
        <v>-11.8</v>
      </c>
      <c r="J4" s="50">
        <v>1</v>
      </c>
      <c r="K4" s="51"/>
      <c r="L4" s="52">
        <f aca="true" t="shared" si="3" ref="L4:L41">-18.75*J4</f>
        <v>-18.75</v>
      </c>
      <c r="M4" s="50">
        <v>1</v>
      </c>
      <c r="N4" s="51"/>
      <c r="O4" s="52">
        <f aca="true" t="shared" si="4" ref="O4:O41">-13.1818*M4</f>
        <v>-13.1818</v>
      </c>
      <c r="P4" s="87"/>
      <c r="Q4" s="96"/>
      <c r="R4" s="52">
        <f aca="true" t="shared" si="5" ref="R4:R41">-15*P4</f>
        <v>0</v>
      </c>
      <c r="S4" s="54"/>
      <c r="T4" s="53">
        <f aca="true" t="shared" si="6" ref="T4:T41">-91*S4</f>
        <v>0</v>
      </c>
      <c r="U4" s="76">
        <f t="shared" si="0"/>
        <v>126.57309000000002</v>
      </c>
      <c r="W4" s="86"/>
    </row>
    <row r="5" spans="1:23" ht="12.75">
      <c r="A5" s="2">
        <v>3</v>
      </c>
      <c r="B5" s="77" t="s">
        <v>58</v>
      </c>
      <c r="C5" s="49">
        <f>'2013年12月'!U5</f>
        <v>28.132489999999997</v>
      </c>
      <c r="D5" s="50">
        <v>1</v>
      </c>
      <c r="E5" s="51"/>
      <c r="F5" s="52">
        <f t="shared" si="1"/>
        <v>-12.6087</v>
      </c>
      <c r="G5" s="50">
        <v>1</v>
      </c>
      <c r="H5" s="51"/>
      <c r="I5" s="52">
        <f t="shared" si="2"/>
        <v>-11.8</v>
      </c>
      <c r="J5" s="50"/>
      <c r="K5" s="51"/>
      <c r="L5" s="52">
        <f t="shared" si="3"/>
        <v>0</v>
      </c>
      <c r="M5" s="50">
        <v>1</v>
      </c>
      <c r="N5" s="51"/>
      <c r="O5" s="52">
        <f t="shared" si="4"/>
        <v>-13.1818</v>
      </c>
      <c r="P5" s="87">
        <v>1</v>
      </c>
      <c r="Q5" s="96"/>
      <c r="R5" s="52">
        <f t="shared" si="5"/>
        <v>-15</v>
      </c>
      <c r="S5" s="50"/>
      <c r="T5" s="53">
        <f t="shared" si="6"/>
        <v>0</v>
      </c>
      <c r="U5" s="76">
        <f t="shared" si="0"/>
        <v>-24.458010000000005</v>
      </c>
      <c r="W5" s="86"/>
    </row>
    <row r="6" spans="1:23" ht="12.75">
      <c r="A6" s="2">
        <v>4</v>
      </c>
      <c r="B6" s="110">
        <v>9631</v>
      </c>
      <c r="C6" s="55">
        <f>'2013年12月'!U6</f>
        <v>45.18048999999998</v>
      </c>
      <c r="D6" s="60">
        <v>1</v>
      </c>
      <c r="E6" s="57"/>
      <c r="F6" s="58">
        <f t="shared" si="1"/>
        <v>-12.6087</v>
      </c>
      <c r="G6" s="60">
        <v>1</v>
      </c>
      <c r="H6" s="57"/>
      <c r="I6" s="58">
        <f t="shared" si="2"/>
        <v>-11.8</v>
      </c>
      <c r="J6" s="60">
        <v>1</v>
      </c>
      <c r="K6" s="57"/>
      <c r="L6" s="58">
        <f t="shared" si="3"/>
        <v>-18.75</v>
      </c>
      <c r="M6" s="60">
        <v>1</v>
      </c>
      <c r="N6" s="57">
        <v>100</v>
      </c>
      <c r="O6" s="58">
        <f t="shared" si="4"/>
        <v>-13.1818</v>
      </c>
      <c r="P6" s="88">
        <v>1</v>
      </c>
      <c r="Q6" s="97"/>
      <c r="R6" s="58">
        <f t="shared" si="5"/>
        <v>-15</v>
      </c>
      <c r="S6" s="60"/>
      <c r="T6" s="59">
        <f t="shared" si="6"/>
        <v>0</v>
      </c>
      <c r="U6" s="76">
        <f t="shared" si="0"/>
        <v>73.83998999999999</v>
      </c>
      <c r="W6" s="86"/>
    </row>
    <row r="7" spans="1:23" ht="12.75">
      <c r="A7" s="2">
        <v>5</v>
      </c>
      <c r="B7" s="78" t="s">
        <v>95</v>
      </c>
      <c r="C7" s="55">
        <f>'2013年12月'!U7</f>
        <v>148.48659</v>
      </c>
      <c r="D7" s="56">
        <v>1</v>
      </c>
      <c r="E7" s="57"/>
      <c r="F7" s="58">
        <f t="shared" si="1"/>
        <v>-12.6087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-18.75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>
        <v>1</v>
      </c>
      <c r="T7" s="59">
        <f t="shared" si="6"/>
        <v>-91</v>
      </c>
      <c r="U7" s="76">
        <f t="shared" si="0"/>
        <v>26.127890000000008</v>
      </c>
      <c r="W7" s="86"/>
    </row>
    <row r="8" spans="1:23" ht="12.75">
      <c r="A8" s="2">
        <v>6</v>
      </c>
      <c r="B8" s="78" t="s">
        <v>60</v>
      </c>
      <c r="C8" s="55">
        <f>'2013年12月'!U8</f>
        <v>43.59599000000002</v>
      </c>
      <c r="D8" s="56">
        <v>1</v>
      </c>
      <c r="E8" s="57"/>
      <c r="F8" s="58">
        <f t="shared" si="1"/>
        <v>-12.6087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>
        <v>1</v>
      </c>
      <c r="N8" s="57"/>
      <c r="O8" s="58">
        <f t="shared" si="4"/>
        <v>-13.1818</v>
      </c>
      <c r="P8" s="89">
        <v>1</v>
      </c>
      <c r="Q8" s="98"/>
      <c r="R8" s="58">
        <f t="shared" si="5"/>
        <v>-15</v>
      </c>
      <c r="S8" s="60"/>
      <c r="T8" s="59">
        <f t="shared" si="6"/>
        <v>0</v>
      </c>
      <c r="U8" s="76">
        <f t="shared" si="0"/>
        <v>2.8054900000000202</v>
      </c>
      <c r="W8" s="86"/>
    </row>
    <row r="9" spans="1:23" ht="12.75">
      <c r="A9" s="2">
        <v>7</v>
      </c>
      <c r="B9" s="109" t="s">
        <v>61</v>
      </c>
      <c r="C9" s="67">
        <f>'2013年12月'!U9</f>
        <v>48.255689999999994</v>
      </c>
      <c r="D9" s="68"/>
      <c r="E9" s="69"/>
      <c r="F9" s="70">
        <f t="shared" si="1"/>
        <v>0</v>
      </c>
      <c r="G9" s="68">
        <v>1</v>
      </c>
      <c r="H9" s="69"/>
      <c r="I9" s="70">
        <f t="shared" si="2"/>
        <v>-11.8</v>
      </c>
      <c r="J9" s="68">
        <v>1</v>
      </c>
      <c r="K9" s="69"/>
      <c r="L9" s="70">
        <f t="shared" si="3"/>
        <v>-18.75</v>
      </c>
      <c r="M9" s="68"/>
      <c r="N9" s="69"/>
      <c r="O9" s="70">
        <f t="shared" si="4"/>
        <v>0</v>
      </c>
      <c r="P9" s="90"/>
      <c r="Q9" s="99"/>
      <c r="R9" s="70">
        <f t="shared" si="5"/>
        <v>0</v>
      </c>
      <c r="S9" s="68"/>
      <c r="T9" s="71">
        <f t="shared" si="6"/>
        <v>0</v>
      </c>
      <c r="U9" s="76">
        <f t="shared" si="0"/>
        <v>17.70568999999999</v>
      </c>
      <c r="W9" s="86"/>
    </row>
    <row r="10" spans="1:23" ht="12.75">
      <c r="A10" s="2">
        <v>8</v>
      </c>
      <c r="B10" s="81" t="s">
        <v>96</v>
      </c>
      <c r="C10" s="67">
        <f>'2013年12月'!U10</f>
        <v>203.36409000000006</v>
      </c>
      <c r="D10" s="72">
        <v>1</v>
      </c>
      <c r="E10" s="69"/>
      <c r="F10" s="70">
        <f t="shared" si="1"/>
        <v>-12.6087</v>
      </c>
      <c r="G10" s="72">
        <v>1</v>
      </c>
      <c r="H10" s="69"/>
      <c r="I10" s="70">
        <f t="shared" si="2"/>
        <v>-11.8</v>
      </c>
      <c r="J10" s="72">
        <v>1</v>
      </c>
      <c r="K10" s="69"/>
      <c r="L10" s="70">
        <f t="shared" si="3"/>
        <v>-18.75</v>
      </c>
      <c r="M10" s="72">
        <v>1</v>
      </c>
      <c r="N10" s="69"/>
      <c r="O10" s="70">
        <f t="shared" si="4"/>
        <v>-13.1818</v>
      </c>
      <c r="P10" s="91">
        <v>1</v>
      </c>
      <c r="Q10" s="100"/>
      <c r="R10" s="70">
        <f t="shared" si="5"/>
        <v>-15</v>
      </c>
      <c r="S10" s="72">
        <v>1</v>
      </c>
      <c r="T10" s="71">
        <f t="shared" si="6"/>
        <v>-91</v>
      </c>
      <c r="U10" s="76">
        <f t="shared" si="0"/>
        <v>41.02359000000004</v>
      </c>
      <c r="W10" s="86"/>
    </row>
    <row r="11" spans="1:23" ht="12.75">
      <c r="A11" s="2">
        <v>9</v>
      </c>
      <c r="B11" s="109" t="s">
        <v>63</v>
      </c>
      <c r="C11" s="67">
        <f>'2013年12月'!U11</f>
        <v>181.44409000000005</v>
      </c>
      <c r="D11" s="68">
        <v>2</v>
      </c>
      <c r="E11" s="69"/>
      <c r="F11" s="70">
        <f t="shared" si="1"/>
        <v>-25.2174</v>
      </c>
      <c r="G11" s="68">
        <v>2</v>
      </c>
      <c r="H11" s="69"/>
      <c r="I11" s="70">
        <f t="shared" si="2"/>
        <v>-23.6</v>
      </c>
      <c r="J11" s="68">
        <v>1</v>
      </c>
      <c r="K11" s="69"/>
      <c r="L11" s="70">
        <f t="shared" si="3"/>
        <v>-18.75</v>
      </c>
      <c r="M11" s="68"/>
      <c r="N11" s="69"/>
      <c r="O11" s="70">
        <f t="shared" si="4"/>
        <v>0</v>
      </c>
      <c r="P11" s="90"/>
      <c r="Q11" s="99"/>
      <c r="R11" s="70">
        <f t="shared" si="5"/>
        <v>0</v>
      </c>
      <c r="S11" s="68">
        <v>1</v>
      </c>
      <c r="T11" s="71">
        <f t="shared" si="6"/>
        <v>-91</v>
      </c>
      <c r="U11" s="76">
        <f t="shared" si="0"/>
        <v>22.876690000000053</v>
      </c>
      <c r="W11" s="86"/>
    </row>
    <row r="12" spans="1:23" ht="12.75">
      <c r="A12" s="2">
        <v>10</v>
      </c>
      <c r="B12" s="79" t="s">
        <v>193</v>
      </c>
      <c r="C12" s="61">
        <f>'2013年12月'!U12</f>
        <v>10.264789999999989</v>
      </c>
      <c r="D12" s="62">
        <v>1</v>
      </c>
      <c r="E12" s="63">
        <v>100</v>
      </c>
      <c r="F12" s="64">
        <f t="shared" si="1"/>
        <v>-12.6087</v>
      </c>
      <c r="G12" s="62">
        <v>1</v>
      </c>
      <c r="H12" s="63"/>
      <c r="I12" s="64">
        <f t="shared" si="2"/>
        <v>-11.8</v>
      </c>
      <c r="J12" s="62">
        <v>1</v>
      </c>
      <c r="K12" s="63"/>
      <c r="L12" s="64">
        <f t="shared" si="3"/>
        <v>-18.75</v>
      </c>
      <c r="M12" s="62">
        <v>1</v>
      </c>
      <c r="N12" s="63"/>
      <c r="O12" s="64">
        <f t="shared" si="4"/>
        <v>-13.1818</v>
      </c>
      <c r="P12" s="92"/>
      <c r="Q12" s="101"/>
      <c r="R12" s="64">
        <f t="shared" si="5"/>
        <v>0</v>
      </c>
      <c r="S12" s="62"/>
      <c r="T12" s="66">
        <f t="shared" si="6"/>
        <v>0</v>
      </c>
      <c r="U12" s="76">
        <f t="shared" si="0"/>
        <v>53.92428999999999</v>
      </c>
      <c r="W12" s="86"/>
    </row>
    <row r="13" spans="1:23" ht="12.75">
      <c r="A13" s="2">
        <v>11</v>
      </c>
      <c r="B13" s="79" t="s">
        <v>65</v>
      </c>
      <c r="C13" s="61">
        <f>'2013年12月'!U13</f>
        <v>10.072789999999996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-11.8</v>
      </c>
      <c r="J13" s="62"/>
      <c r="K13" s="63"/>
      <c r="L13" s="64">
        <f t="shared" si="3"/>
        <v>0</v>
      </c>
      <c r="M13" s="62"/>
      <c r="N13" s="106"/>
      <c r="O13" s="64">
        <f t="shared" si="4"/>
        <v>0</v>
      </c>
      <c r="P13" s="92">
        <v>1</v>
      </c>
      <c r="Q13" s="101">
        <v>200</v>
      </c>
      <c r="R13" s="64">
        <f t="shared" si="5"/>
        <v>-15</v>
      </c>
      <c r="S13" s="65"/>
      <c r="T13" s="66">
        <f t="shared" si="6"/>
        <v>0</v>
      </c>
      <c r="U13" s="76">
        <f t="shared" si="0"/>
        <v>183.27279</v>
      </c>
      <c r="W13" s="86"/>
    </row>
    <row r="14" spans="1:23" ht="12.75">
      <c r="A14" s="2">
        <v>12</v>
      </c>
      <c r="B14" s="79" t="s">
        <v>66</v>
      </c>
      <c r="C14" s="61">
        <f>'2013年12月'!U14</f>
        <v>29.084389999999985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-13.1818</v>
      </c>
      <c r="P14" s="92">
        <v>1</v>
      </c>
      <c r="Q14" s="101">
        <v>100</v>
      </c>
      <c r="R14" s="64">
        <f t="shared" si="5"/>
        <v>-15</v>
      </c>
      <c r="S14" s="62"/>
      <c r="T14" s="66">
        <f t="shared" si="6"/>
        <v>0</v>
      </c>
      <c r="U14" s="76">
        <f t="shared" si="0"/>
        <v>100.90258999999999</v>
      </c>
      <c r="W14" s="86"/>
    </row>
    <row r="15" spans="1:23" ht="12.75">
      <c r="A15" s="2">
        <v>13</v>
      </c>
      <c r="B15" s="80" t="s">
        <v>67</v>
      </c>
      <c r="C15" s="43">
        <f>'2013年12月'!U15</f>
        <v>91.09929000000004</v>
      </c>
      <c r="D15" s="44">
        <v>1</v>
      </c>
      <c r="E15" s="45"/>
      <c r="F15" s="46">
        <f t="shared" si="1"/>
        <v>-12.6087</v>
      </c>
      <c r="G15" s="44">
        <v>1</v>
      </c>
      <c r="H15" s="45"/>
      <c r="I15" s="46">
        <f t="shared" si="2"/>
        <v>-11.8</v>
      </c>
      <c r="J15" s="44">
        <v>1</v>
      </c>
      <c r="K15" s="45">
        <v>100</v>
      </c>
      <c r="L15" s="46">
        <f t="shared" si="3"/>
        <v>-18.75</v>
      </c>
      <c r="M15" s="44">
        <v>1</v>
      </c>
      <c r="N15" s="45"/>
      <c r="O15" s="46">
        <f t="shared" si="4"/>
        <v>-13.1818</v>
      </c>
      <c r="P15" s="93"/>
      <c r="Q15" s="102"/>
      <c r="R15" s="46">
        <f t="shared" si="5"/>
        <v>0</v>
      </c>
      <c r="S15" s="48">
        <v>1</v>
      </c>
      <c r="T15" s="47">
        <f t="shared" si="6"/>
        <v>-91</v>
      </c>
      <c r="U15" s="76">
        <f t="shared" si="0"/>
        <v>43.75879000000003</v>
      </c>
      <c r="W15" s="86"/>
    </row>
    <row r="16" spans="1:23" ht="12.75">
      <c r="A16" s="2">
        <v>14</v>
      </c>
      <c r="B16" s="80" t="s">
        <v>53</v>
      </c>
      <c r="C16" s="43">
        <f>'2013年12月'!U16</f>
        <v>44.393390000000004</v>
      </c>
      <c r="D16" s="44">
        <v>1</v>
      </c>
      <c r="E16" s="45"/>
      <c r="F16" s="46">
        <f t="shared" si="1"/>
        <v>-12.6087</v>
      </c>
      <c r="G16" s="44">
        <v>1</v>
      </c>
      <c r="H16" s="45"/>
      <c r="I16" s="46">
        <f t="shared" si="2"/>
        <v>-11.8</v>
      </c>
      <c r="J16" s="44">
        <v>1</v>
      </c>
      <c r="K16" s="45"/>
      <c r="L16" s="46">
        <f t="shared" si="3"/>
        <v>-18.75</v>
      </c>
      <c r="M16" s="44">
        <v>1</v>
      </c>
      <c r="N16" s="45"/>
      <c r="O16" s="46">
        <f t="shared" si="4"/>
        <v>-13.1818</v>
      </c>
      <c r="P16" s="93">
        <v>1</v>
      </c>
      <c r="Q16" s="102">
        <v>100</v>
      </c>
      <c r="R16" s="46">
        <f t="shared" si="5"/>
        <v>-15</v>
      </c>
      <c r="S16" s="44">
        <v>1</v>
      </c>
      <c r="T16" s="47">
        <f t="shared" si="6"/>
        <v>-91</v>
      </c>
      <c r="U16" s="76">
        <f t="shared" si="0"/>
        <v>-17.947109999999995</v>
      </c>
      <c r="W16" s="86"/>
    </row>
    <row r="17" spans="1:23" ht="12.75">
      <c r="A17" s="2">
        <v>15</v>
      </c>
      <c r="B17" s="80" t="s">
        <v>94</v>
      </c>
      <c r="C17" s="43">
        <f>'2013年12月'!U17</f>
        <v>123.68799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-13.1818</v>
      </c>
      <c r="P17" s="93"/>
      <c r="Q17" s="102"/>
      <c r="R17" s="46">
        <f t="shared" si="5"/>
        <v>0</v>
      </c>
      <c r="S17" s="48"/>
      <c r="T17" s="47">
        <f t="shared" si="6"/>
        <v>0</v>
      </c>
      <c r="U17" s="76">
        <f t="shared" si="0"/>
        <v>110.50619</v>
      </c>
      <c r="W17" s="86"/>
    </row>
    <row r="18" spans="1:23" ht="12.75">
      <c r="A18" s="2">
        <v>16</v>
      </c>
      <c r="B18" s="77" t="s">
        <v>182</v>
      </c>
      <c r="C18" s="49">
        <f>'2013年12月'!U18</f>
        <v>94.00729</v>
      </c>
      <c r="D18" s="50">
        <v>1</v>
      </c>
      <c r="E18" s="51"/>
      <c r="F18" s="52">
        <f t="shared" si="1"/>
        <v>-12.6087</v>
      </c>
      <c r="G18" s="50">
        <v>1</v>
      </c>
      <c r="H18" s="51"/>
      <c r="I18" s="52">
        <f t="shared" si="2"/>
        <v>-11.8</v>
      </c>
      <c r="J18" s="50">
        <v>1</v>
      </c>
      <c r="K18" s="51"/>
      <c r="L18" s="52">
        <f t="shared" si="3"/>
        <v>-18.75</v>
      </c>
      <c r="M18" s="50">
        <v>1</v>
      </c>
      <c r="N18" s="51">
        <v>100</v>
      </c>
      <c r="O18" s="52">
        <f t="shared" si="4"/>
        <v>-13.1818</v>
      </c>
      <c r="P18" s="87">
        <v>1</v>
      </c>
      <c r="Q18" s="96"/>
      <c r="R18" s="52">
        <f t="shared" si="5"/>
        <v>-15</v>
      </c>
      <c r="S18" s="50">
        <v>1</v>
      </c>
      <c r="T18" s="53">
        <f t="shared" si="6"/>
        <v>-91</v>
      </c>
      <c r="U18" s="76">
        <f t="shared" si="0"/>
        <v>31.666789999999992</v>
      </c>
      <c r="W18" s="86"/>
    </row>
    <row r="19" spans="1:23" ht="12.75">
      <c r="A19" s="2">
        <v>17</v>
      </c>
      <c r="B19" s="77" t="s">
        <v>69</v>
      </c>
      <c r="C19" s="49">
        <f>'2013年12月'!U19</f>
        <v>24.942790000000052</v>
      </c>
      <c r="D19" s="50"/>
      <c r="E19" s="51"/>
      <c r="F19" s="52">
        <f t="shared" si="1"/>
        <v>0</v>
      </c>
      <c r="G19" s="50">
        <v>1</v>
      </c>
      <c r="H19" s="51"/>
      <c r="I19" s="52">
        <f t="shared" si="2"/>
        <v>-11.8</v>
      </c>
      <c r="J19" s="50">
        <v>1</v>
      </c>
      <c r="K19" s="51">
        <v>100</v>
      </c>
      <c r="L19" s="52">
        <f t="shared" si="3"/>
        <v>-18.75</v>
      </c>
      <c r="M19" s="50">
        <v>1</v>
      </c>
      <c r="N19" s="51">
        <v>100</v>
      </c>
      <c r="O19" s="52">
        <f t="shared" si="4"/>
        <v>-13.1818</v>
      </c>
      <c r="P19" s="87">
        <v>1</v>
      </c>
      <c r="Q19" s="96"/>
      <c r="R19" s="52">
        <f t="shared" si="5"/>
        <v>-15</v>
      </c>
      <c r="S19" s="54">
        <v>1</v>
      </c>
      <c r="T19" s="53">
        <f t="shared" si="6"/>
        <v>-91</v>
      </c>
      <c r="U19" s="76">
        <f t="shared" si="0"/>
        <v>75.21099000000004</v>
      </c>
      <c r="W19" s="86"/>
    </row>
    <row r="20" spans="1:23" ht="12.75">
      <c r="A20" s="2">
        <v>18</v>
      </c>
      <c r="B20" s="77" t="s">
        <v>97</v>
      </c>
      <c r="C20" s="49">
        <f>'2013年12月'!U20</f>
        <v>78.73709</v>
      </c>
      <c r="D20" s="50">
        <v>1</v>
      </c>
      <c r="E20" s="51"/>
      <c r="F20" s="52">
        <f t="shared" si="1"/>
        <v>-12.6087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-18.75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>
        <f t="shared" si="6"/>
        <v>0</v>
      </c>
      <c r="U20" s="76">
        <f t="shared" si="0"/>
        <v>47.378389999999996</v>
      </c>
      <c r="W20" s="86"/>
    </row>
    <row r="21" spans="1:23" ht="12.75">
      <c r="A21" s="2">
        <v>19</v>
      </c>
      <c r="B21" s="78" t="s">
        <v>169</v>
      </c>
      <c r="C21" s="55">
        <f>'2013年12月'!U21</f>
        <v>24.018890000000017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>
        <f t="shared" si="6"/>
        <v>0</v>
      </c>
      <c r="U21" s="76">
        <f t="shared" si="0"/>
        <v>24.018890000000017</v>
      </c>
      <c r="W21" s="86"/>
    </row>
    <row r="22" spans="1:23" ht="12.75">
      <c r="A22" s="2">
        <v>20</v>
      </c>
      <c r="B22" s="78" t="s">
        <v>72</v>
      </c>
      <c r="C22" s="55">
        <f>'2013年12月'!U22</f>
        <v>-35.46141000000002</v>
      </c>
      <c r="D22" s="56">
        <v>1</v>
      </c>
      <c r="E22" s="57">
        <v>100</v>
      </c>
      <c r="F22" s="58">
        <f t="shared" si="1"/>
        <v>-12.6087</v>
      </c>
      <c r="G22" s="56">
        <v>1</v>
      </c>
      <c r="H22" s="57"/>
      <c r="I22" s="58">
        <f t="shared" si="2"/>
        <v>-11.8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-15</v>
      </c>
      <c r="S22" s="56"/>
      <c r="T22" s="59">
        <f t="shared" si="6"/>
        <v>0</v>
      </c>
      <c r="U22" s="76">
        <f t="shared" si="0"/>
        <v>25.129889999999975</v>
      </c>
      <c r="W22" s="86"/>
    </row>
    <row r="23" spans="1:23" ht="12.75">
      <c r="A23" s="2">
        <v>21</v>
      </c>
      <c r="B23" s="78" t="s">
        <v>73</v>
      </c>
      <c r="C23" s="55">
        <f>'2013年12月'!U23</f>
        <v>122.87119000000003</v>
      </c>
      <c r="D23" s="56">
        <v>1</v>
      </c>
      <c r="E23" s="57"/>
      <c r="F23" s="58">
        <f t="shared" si="1"/>
        <v>-12.6087</v>
      </c>
      <c r="G23" s="56">
        <v>1</v>
      </c>
      <c r="H23" s="57"/>
      <c r="I23" s="58">
        <f t="shared" si="2"/>
        <v>-11.8</v>
      </c>
      <c r="J23" s="56">
        <v>1</v>
      </c>
      <c r="K23" s="57"/>
      <c r="L23" s="58">
        <f t="shared" si="3"/>
        <v>-18.75</v>
      </c>
      <c r="M23" s="56">
        <v>1</v>
      </c>
      <c r="N23" s="57">
        <v>400</v>
      </c>
      <c r="O23" s="58">
        <f t="shared" si="4"/>
        <v>-13.1818</v>
      </c>
      <c r="P23" s="89">
        <v>1</v>
      </c>
      <c r="Q23" s="98"/>
      <c r="R23" s="58">
        <f t="shared" si="5"/>
        <v>-15</v>
      </c>
      <c r="S23" s="60">
        <v>1</v>
      </c>
      <c r="T23" s="59">
        <f t="shared" si="6"/>
        <v>-91</v>
      </c>
      <c r="U23" s="76">
        <f t="shared" si="0"/>
        <v>360.53069</v>
      </c>
      <c r="W23" s="86"/>
    </row>
    <row r="24" spans="1:23" ht="12.75">
      <c r="A24" s="2">
        <v>22</v>
      </c>
      <c r="B24" s="81" t="s">
        <v>74</v>
      </c>
      <c r="C24" s="67">
        <f>'2013年12月'!U24</f>
        <v>71.69449000000006</v>
      </c>
      <c r="D24" s="68">
        <v>1</v>
      </c>
      <c r="E24" s="69"/>
      <c r="F24" s="70">
        <f t="shared" si="1"/>
        <v>-12.6087</v>
      </c>
      <c r="G24" s="68">
        <v>1</v>
      </c>
      <c r="H24" s="69"/>
      <c r="I24" s="70">
        <f t="shared" si="2"/>
        <v>-11.8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-15</v>
      </c>
      <c r="S24" s="68"/>
      <c r="T24" s="71">
        <f t="shared" si="6"/>
        <v>0</v>
      </c>
      <c r="U24" s="76">
        <f t="shared" si="0"/>
        <v>32.28579000000006</v>
      </c>
      <c r="W24" s="86"/>
    </row>
    <row r="25" spans="1:23" ht="12.75">
      <c r="A25" s="2">
        <v>23</v>
      </c>
      <c r="B25" s="81" t="s">
        <v>75</v>
      </c>
      <c r="C25" s="67">
        <f>'2013年12月'!U25</f>
        <v>61.168290000000006</v>
      </c>
      <c r="D25" s="68">
        <v>1</v>
      </c>
      <c r="E25" s="69"/>
      <c r="F25" s="70">
        <f t="shared" si="1"/>
        <v>-12.6087</v>
      </c>
      <c r="G25" s="68">
        <v>1</v>
      </c>
      <c r="H25" s="69"/>
      <c r="I25" s="70">
        <f t="shared" si="2"/>
        <v>-11.8</v>
      </c>
      <c r="J25" s="68"/>
      <c r="K25" s="69"/>
      <c r="L25" s="70">
        <f t="shared" si="3"/>
        <v>0</v>
      </c>
      <c r="M25" s="68">
        <v>1</v>
      </c>
      <c r="N25" s="69"/>
      <c r="O25" s="70">
        <f t="shared" si="4"/>
        <v>-13.1818</v>
      </c>
      <c r="P25" s="90">
        <v>1</v>
      </c>
      <c r="Q25" s="99"/>
      <c r="R25" s="70">
        <f t="shared" si="5"/>
        <v>-15</v>
      </c>
      <c r="S25" s="68"/>
      <c r="T25" s="71">
        <f t="shared" si="6"/>
        <v>0</v>
      </c>
      <c r="U25" s="76">
        <f t="shared" si="0"/>
        <v>8.57779</v>
      </c>
      <c r="W25" s="86"/>
    </row>
    <row r="26" spans="1:23" ht="12.75">
      <c r="A26" s="2">
        <v>24</v>
      </c>
      <c r="B26" s="81" t="s">
        <v>92</v>
      </c>
      <c r="C26" s="67">
        <f>'2013年12月'!U26</f>
        <v>-65.05260999999994</v>
      </c>
      <c r="D26" s="68">
        <v>1</v>
      </c>
      <c r="E26" s="69">
        <v>200</v>
      </c>
      <c r="F26" s="70">
        <f t="shared" si="1"/>
        <v>-12.6087</v>
      </c>
      <c r="G26" s="68">
        <v>1</v>
      </c>
      <c r="H26" s="69"/>
      <c r="I26" s="70">
        <f t="shared" si="2"/>
        <v>-11.8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-13.1818</v>
      </c>
      <c r="P26" s="90">
        <v>1</v>
      </c>
      <c r="Q26" s="99"/>
      <c r="R26" s="70">
        <f t="shared" si="5"/>
        <v>-15</v>
      </c>
      <c r="S26" s="72"/>
      <c r="T26" s="71">
        <f t="shared" si="6"/>
        <v>0</v>
      </c>
      <c r="U26" s="76">
        <f t="shared" si="0"/>
        <v>82.35689000000005</v>
      </c>
      <c r="W26" s="86"/>
    </row>
    <row r="27" spans="1:23" ht="12.75">
      <c r="A27" s="2">
        <v>25</v>
      </c>
      <c r="B27" s="79" t="s">
        <v>98</v>
      </c>
      <c r="C27" s="61">
        <f>'2013年12月'!U27</f>
        <v>27.429189999999984</v>
      </c>
      <c r="D27" s="62">
        <v>1</v>
      </c>
      <c r="E27" s="73"/>
      <c r="F27" s="64">
        <f t="shared" si="1"/>
        <v>-12.6087</v>
      </c>
      <c r="G27" s="62">
        <v>1</v>
      </c>
      <c r="H27" s="73"/>
      <c r="I27" s="64">
        <f t="shared" si="2"/>
        <v>-11.8</v>
      </c>
      <c r="J27" s="62">
        <v>1</v>
      </c>
      <c r="K27" s="73"/>
      <c r="L27" s="64">
        <f t="shared" si="3"/>
        <v>-18.75</v>
      </c>
      <c r="M27" s="62">
        <v>1</v>
      </c>
      <c r="N27" s="73">
        <v>100</v>
      </c>
      <c r="O27" s="64">
        <f t="shared" si="4"/>
        <v>-13.1818</v>
      </c>
      <c r="P27" s="92">
        <v>1</v>
      </c>
      <c r="Q27" s="101"/>
      <c r="R27" s="64">
        <f t="shared" si="5"/>
        <v>-15</v>
      </c>
      <c r="S27" s="62"/>
      <c r="T27" s="66">
        <f t="shared" si="6"/>
        <v>0</v>
      </c>
      <c r="U27" s="76">
        <f t="shared" si="0"/>
        <v>56.088689999999986</v>
      </c>
      <c r="W27" s="86"/>
    </row>
    <row r="28" spans="1:23" ht="12.75">
      <c r="A28" s="2">
        <v>26</v>
      </c>
      <c r="B28" s="79" t="s">
        <v>99</v>
      </c>
      <c r="C28" s="61">
        <f>'2013年12月'!U28</f>
        <v>125.25619000000006</v>
      </c>
      <c r="D28" s="65">
        <v>1</v>
      </c>
      <c r="E28" s="73"/>
      <c r="F28" s="64">
        <f t="shared" si="1"/>
        <v>-12.6087</v>
      </c>
      <c r="G28" s="65"/>
      <c r="H28" s="73"/>
      <c r="I28" s="64">
        <f t="shared" si="2"/>
        <v>0</v>
      </c>
      <c r="J28" s="65"/>
      <c r="K28" s="73"/>
      <c r="L28" s="64">
        <f t="shared" si="3"/>
        <v>0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/>
      <c r="T28" s="66">
        <f t="shared" si="6"/>
        <v>0</v>
      </c>
      <c r="U28" s="76">
        <f t="shared" si="0"/>
        <v>112.64749000000006</v>
      </c>
      <c r="W28" s="86"/>
    </row>
    <row r="29" spans="1:23" ht="12.75">
      <c r="A29" s="2">
        <v>27</v>
      </c>
      <c r="B29" s="79" t="s">
        <v>100</v>
      </c>
      <c r="C29" s="61">
        <f>'2013年12月'!U29</f>
        <v>194.77928999999997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-11.8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-13.1818</v>
      </c>
      <c r="P29" s="92">
        <v>1</v>
      </c>
      <c r="Q29" s="101"/>
      <c r="R29" s="64">
        <f t="shared" si="5"/>
        <v>-15</v>
      </c>
      <c r="S29" s="62"/>
      <c r="T29" s="66">
        <f t="shared" si="6"/>
        <v>0</v>
      </c>
      <c r="U29" s="76">
        <f t="shared" si="0"/>
        <v>154.79748999999995</v>
      </c>
      <c r="W29" s="86"/>
    </row>
    <row r="30" spans="1:23" ht="12.75">
      <c r="A30" s="2">
        <v>28</v>
      </c>
      <c r="B30" s="80" t="s">
        <v>80</v>
      </c>
      <c r="C30" s="43">
        <f>'2013年12月'!U30</f>
        <v>151.42260000000002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>
        <f t="shared" si="6"/>
        <v>0</v>
      </c>
      <c r="U30" s="76">
        <f t="shared" si="0"/>
        <v>151.42260000000002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'2013年12月'!U31</f>
        <v>29.345690000000005</v>
      </c>
      <c r="D31" s="44"/>
      <c r="E31" s="74"/>
      <c r="F31" s="46">
        <f t="shared" si="1"/>
        <v>0</v>
      </c>
      <c r="G31" s="44"/>
      <c r="H31" s="74"/>
      <c r="I31" s="46">
        <f t="shared" si="2"/>
        <v>0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-13.1818</v>
      </c>
      <c r="P31" s="93"/>
      <c r="Q31" s="102"/>
      <c r="R31" s="46">
        <f t="shared" si="5"/>
        <v>0</v>
      </c>
      <c r="S31" s="44"/>
      <c r="T31" s="47">
        <f t="shared" si="6"/>
        <v>0</v>
      </c>
      <c r="U31" s="76">
        <f t="shared" si="0"/>
        <v>16.163890000000002</v>
      </c>
      <c r="W31" s="86"/>
    </row>
    <row r="32" spans="1:23" ht="12.75">
      <c r="A32" s="2">
        <v>30</v>
      </c>
      <c r="B32" s="80" t="s">
        <v>170</v>
      </c>
      <c r="C32" s="43">
        <f>'2013年12月'!U32</f>
        <v>39.38809000000001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>
        <f t="shared" si="6"/>
        <v>0</v>
      </c>
      <c r="U32" s="76">
        <f t="shared" si="0"/>
        <v>39.38809000000001</v>
      </c>
      <c r="W32" s="86"/>
    </row>
    <row r="33" spans="1:23" ht="12.75">
      <c r="A33" s="2">
        <v>31</v>
      </c>
      <c r="B33" s="77" t="s">
        <v>104</v>
      </c>
      <c r="C33" s="49">
        <f>'2013年12月'!U33</f>
        <v>-13.969210000000006</v>
      </c>
      <c r="D33" s="50">
        <v>1</v>
      </c>
      <c r="E33" s="51"/>
      <c r="F33" s="52">
        <f t="shared" si="1"/>
        <v>-12.6087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>
        <v>100</v>
      </c>
      <c r="O33" s="52">
        <f t="shared" si="4"/>
        <v>-13.1818</v>
      </c>
      <c r="P33" s="87"/>
      <c r="Q33" s="96"/>
      <c r="R33" s="52">
        <f t="shared" si="5"/>
        <v>0</v>
      </c>
      <c r="S33" s="50"/>
      <c r="T33" s="53">
        <f t="shared" si="6"/>
        <v>0</v>
      </c>
      <c r="U33" s="76">
        <f t="shared" si="0"/>
        <v>60.240289999999995</v>
      </c>
      <c r="W33" s="86"/>
    </row>
    <row r="34" spans="1:23" ht="12.75">
      <c r="A34" s="2">
        <v>32</v>
      </c>
      <c r="B34" s="77" t="s">
        <v>190</v>
      </c>
      <c r="C34" s="49">
        <f>'2013年12月'!U34</f>
        <v>80.54219</v>
      </c>
      <c r="D34" s="50">
        <v>1</v>
      </c>
      <c r="E34" s="51"/>
      <c r="F34" s="52">
        <f>-12.6087*D34-5</f>
        <v>-17.6087</v>
      </c>
      <c r="G34" s="85">
        <v>1</v>
      </c>
      <c r="H34" s="51"/>
      <c r="I34" s="52">
        <f t="shared" si="2"/>
        <v>-11.8</v>
      </c>
      <c r="J34" s="85"/>
      <c r="K34" s="51"/>
      <c r="L34" s="52">
        <f t="shared" si="3"/>
        <v>0</v>
      </c>
      <c r="M34" s="50">
        <v>1</v>
      </c>
      <c r="N34" s="51"/>
      <c r="O34" s="52">
        <f t="shared" si="4"/>
        <v>-13.1818</v>
      </c>
      <c r="P34" s="87"/>
      <c r="Q34" s="96"/>
      <c r="R34" s="52">
        <f t="shared" si="5"/>
        <v>0</v>
      </c>
      <c r="S34" s="54"/>
      <c r="T34" s="53">
        <f t="shared" si="6"/>
        <v>0</v>
      </c>
      <c r="U34" s="76">
        <f t="shared" si="0"/>
        <v>37.951690000000006</v>
      </c>
      <c r="W34" s="86"/>
    </row>
    <row r="35" spans="1:23" ht="12.75">
      <c r="A35" s="2">
        <v>33</v>
      </c>
      <c r="B35" s="77" t="s">
        <v>207</v>
      </c>
      <c r="C35" s="49">
        <f>'2013年12月'!U35</f>
        <v>84.45639</v>
      </c>
      <c r="D35" s="50"/>
      <c r="E35" s="51"/>
      <c r="F35" s="52">
        <f t="shared" si="1"/>
        <v>0</v>
      </c>
      <c r="G35" s="50">
        <v>1</v>
      </c>
      <c r="H35" s="51"/>
      <c r="I35" s="52">
        <f t="shared" si="2"/>
        <v>-11.8</v>
      </c>
      <c r="J35" s="50">
        <v>1</v>
      </c>
      <c r="K35" s="51"/>
      <c r="L35" s="52">
        <f t="shared" si="3"/>
        <v>-18.75</v>
      </c>
      <c r="M35" s="50"/>
      <c r="N35" s="51"/>
      <c r="O35" s="52">
        <f t="shared" si="4"/>
        <v>0</v>
      </c>
      <c r="P35" s="87">
        <v>1</v>
      </c>
      <c r="Q35" s="96">
        <v>200</v>
      </c>
      <c r="R35" s="52">
        <f t="shared" si="5"/>
        <v>-15</v>
      </c>
      <c r="S35" s="50">
        <v>1</v>
      </c>
      <c r="T35" s="53">
        <f t="shared" si="6"/>
        <v>-91</v>
      </c>
      <c r="U35" s="76">
        <f t="shared" si="0"/>
        <v>147.90639</v>
      </c>
      <c r="W35" s="86"/>
    </row>
    <row r="36" spans="1:23" ht="12.75">
      <c r="A36" s="2">
        <v>34</v>
      </c>
      <c r="B36" s="78" t="s">
        <v>101</v>
      </c>
      <c r="C36" s="55">
        <f>'2013年12月'!U36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>
        <f t="shared" si="6"/>
        <v>0</v>
      </c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'2013年12月'!U37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>
        <f t="shared" si="6"/>
        <v>0</v>
      </c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'2013年12月'!U38</f>
        <v>146.08338999999998</v>
      </c>
      <c r="D38" s="56">
        <v>1</v>
      </c>
      <c r="E38" s="57"/>
      <c r="F38" s="58">
        <f>-12.6087*D38-5</f>
        <v>-17.6087</v>
      </c>
      <c r="G38" s="56">
        <v>1</v>
      </c>
      <c r="H38" s="57"/>
      <c r="I38" s="58">
        <f>-11.8*G38-5</f>
        <v>-16.8</v>
      </c>
      <c r="J38" s="56"/>
      <c r="K38" s="57"/>
      <c r="L38" s="58">
        <f t="shared" si="3"/>
        <v>0</v>
      </c>
      <c r="M38" s="56">
        <v>1</v>
      </c>
      <c r="N38" s="57"/>
      <c r="O38" s="58">
        <f>-13.1818*M38-10</f>
        <v>-23.181800000000003</v>
      </c>
      <c r="P38" s="89">
        <v>1</v>
      </c>
      <c r="Q38" s="98"/>
      <c r="R38" s="58">
        <f>-15*P38-15</f>
        <v>-30</v>
      </c>
      <c r="S38" s="60"/>
      <c r="T38" s="59">
        <f t="shared" si="6"/>
        <v>0</v>
      </c>
      <c r="U38" s="76">
        <f t="shared" si="0"/>
        <v>58.49288999999999</v>
      </c>
      <c r="W38" s="86"/>
    </row>
    <row r="39" spans="1:23" ht="12.75">
      <c r="A39" s="2">
        <v>37</v>
      </c>
      <c r="B39" s="81" t="s">
        <v>200</v>
      </c>
      <c r="C39" s="67">
        <f>'2013年12月'!U39</f>
        <v>186.3636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-11.8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>
        <f t="shared" si="6"/>
        <v>0</v>
      </c>
      <c r="U39" s="76">
        <f t="shared" si="0"/>
        <v>174.56359999999998</v>
      </c>
      <c r="W39" s="86"/>
    </row>
    <row r="40" spans="1:23" ht="12.75">
      <c r="A40" s="2">
        <v>38</v>
      </c>
      <c r="B40" s="81"/>
      <c r="C40" s="67">
        <f>'2013年12月'!U40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>
        <f t="shared" si="6"/>
        <v>0</v>
      </c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'2013年12月'!U41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>
        <f t="shared" si="6"/>
        <v>0</v>
      </c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23</v>
      </c>
      <c r="F43" s="1">
        <f>E54/D43</f>
        <v>12.608695652173912</v>
      </c>
      <c r="G43" s="1">
        <f>SUM(G3:G41)</f>
        <v>25</v>
      </c>
      <c r="I43" s="1">
        <f>H54/G43</f>
        <v>11.8</v>
      </c>
      <c r="J43" s="1">
        <f>SUM(J3:J41)</f>
        <v>16</v>
      </c>
      <c r="L43" s="1">
        <f>K54/J43</f>
        <v>18.75</v>
      </c>
      <c r="M43" s="1">
        <f>SUM(M3:M41)</f>
        <v>22</v>
      </c>
      <c r="O43" s="1">
        <f>N54/M43</f>
        <v>13.181818181818182</v>
      </c>
      <c r="P43" s="1">
        <f>SUM(P3:P41)</f>
        <v>19</v>
      </c>
      <c r="R43" s="1">
        <f>Q54/P43</f>
        <v>15</v>
      </c>
      <c r="S43" s="1">
        <f>SUM(S3:S42)</f>
        <v>10</v>
      </c>
      <c r="T43" s="27">
        <f>SUM(T3:T41)</f>
        <v>-910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-300.00010000000003</v>
      </c>
      <c r="H45" s="28" t="s">
        <v>84</v>
      </c>
      <c r="I45" s="1">
        <f>SUM(I3:I41)</f>
        <v>-300.00000000000017</v>
      </c>
      <c r="K45" s="28" t="s">
        <v>84</v>
      </c>
      <c r="L45" s="1">
        <f>SUM(L3:L41)</f>
        <v>-300</v>
      </c>
      <c r="N45" s="28" t="s">
        <v>84</v>
      </c>
      <c r="O45" s="1">
        <f>SUM(O3:O41)</f>
        <v>-299.9996000000001</v>
      </c>
      <c r="Q45" s="28" t="s">
        <v>84</v>
      </c>
      <c r="R45" s="1">
        <f>SUM(R3:R41)</f>
        <v>-300</v>
      </c>
      <c r="U45" s="19"/>
    </row>
    <row r="46" spans="2:21" ht="12.75">
      <c r="B46" s="29" t="s">
        <v>85</v>
      </c>
      <c r="C46" s="27">
        <f>SUM(C3:C41)</f>
        <v>2699.99997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2600.0002700000005</v>
      </c>
      <c r="W47" s="86">
        <f>U47</f>
        <v>2600.0002700000005</v>
      </c>
    </row>
    <row r="48" spans="2:20" ht="12.75" customHeight="1">
      <c r="B48" s="86"/>
      <c r="D48" s="117" t="s">
        <v>201</v>
      </c>
      <c r="E48" s="118"/>
      <c r="F48" s="119"/>
      <c r="G48" s="117" t="s">
        <v>202</v>
      </c>
      <c r="H48" s="118"/>
      <c r="I48" s="119"/>
      <c r="J48" s="117" t="s">
        <v>206</v>
      </c>
      <c r="K48" s="118"/>
      <c r="L48" s="119"/>
      <c r="M48" s="117" t="s">
        <v>203</v>
      </c>
      <c r="N48" s="118"/>
      <c r="O48" s="119"/>
      <c r="P48" s="117" t="s">
        <v>204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290</v>
      </c>
      <c r="F54" s="37"/>
      <c r="G54" s="38" t="s">
        <v>87</v>
      </c>
      <c r="H54" s="36">
        <f>H56-H72-H81</f>
        <v>295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290</v>
      </c>
      <c r="O54" s="37"/>
      <c r="P54" s="38" t="s">
        <v>87</v>
      </c>
      <c r="Q54" s="36">
        <f>Q56-Q72-Q81</f>
        <v>285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 t="s">
        <v>208</v>
      </c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7" ht="24.75">
      <c r="D77" s="105" t="s">
        <v>189</v>
      </c>
      <c r="E77" s="1">
        <v>5</v>
      </c>
      <c r="G77" s="105" t="s">
        <v>189</v>
      </c>
      <c r="H77" s="1">
        <v>5</v>
      </c>
      <c r="J77" s="105"/>
      <c r="K77" s="28"/>
      <c r="M77" s="105" t="s">
        <v>189</v>
      </c>
      <c r="N77" s="1">
        <v>10</v>
      </c>
      <c r="P77" s="105" t="s">
        <v>189</v>
      </c>
      <c r="Q77" s="1">
        <v>15</v>
      </c>
    </row>
    <row r="78" spans="4:5" ht="12.75">
      <c r="D78" s="1" t="s">
        <v>205</v>
      </c>
      <c r="E78" s="1">
        <v>5</v>
      </c>
    </row>
    <row r="81" spans="5:17" ht="12.75">
      <c r="E81" s="1">
        <f>SUM(E77:E80)</f>
        <v>10</v>
      </c>
      <c r="H81" s="1">
        <f>SUM(H77:H80)</f>
        <v>5</v>
      </c>
      <c r="N81" s="1">
        <f>SUM(N77:N80)</f>
        <v>10</v>
      </c>
      <c r="Q81" s="1">
        <f>SUM(Q77:Q80)</f>
        <v>15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17" sqref="Q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41658</v>
      </c>
      <c r="E1" s="126"/>
      <c r="F1" s="127"/>
      <c r="G1" s="16"/>
      <c r="H1" s="24">
        <v>41664</v>
      </c>
      <c r="I1" s="17"/>
      <c r="J1" s="30"/>
      <c r="K1" s="24">
        <v>41679</v>
      </c>
      <c r="L1" s="31"/>
      <c r="M1" s="16"/>
      <c r="N1" s="24">
        <v>41686</v>
      </c>
      <c r="O1" s="17"/>
      <c r="P1" s="16"/>
      <c r="Q1" s="24">
        <v>41693</v>
      </c>
      <c r="R1" s="17"/>
      <c r="S1" s="128" t="s">
        <v>209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'2014年1月'!U3</f>
        <v>85.64829</v>
      </c>
      <c r="D3" s="50">
        <v>1</v>
      </c>
      <c r="E3" s="51"/>
      <c r="F3" s="52">
        <f>-8.8235*D3</f>
        <v>-8.8235</v>
      </c>
      <c r="G3" s="50">
        <v>1</v>
      </c>
      <c r="H3" s="51"/>
      <c r="I3" s="52">
        <f>-8.8235*G3</f>
        <v>-8.8235</v>
      </c>
      <c r="J3" s="50">
        <v>1</v>
      </c>
      <c r="K3" s="51"/>
      <c r="L3" s="52">
        <f>-17.6471*J3</f>
        <v>-17.6471</v>
      </c>
      <c r="M3" s="50">
        <v>1</v>
      </c>
      <c r="N3" s="51"/>
      <c r="O3" s="52">
        <f>-14.25*M3</f>
        <v>-14.25</v>
      </c>
      <c r="P3" s="87">
        <v>1</v>
      </c>
      <c r="Q3" s="96"/>
      <c r="R3" s="52">
        <f>-8.8235*P3</f>
        <v>-8.8235</v>
      </c>
      <c r="S3" s="50"/>
      <c r="T3" s="53"/>
      <c r="U3" s="76">
        <f aca="true" t="shared" si="0" ref="U3:U41">C3+E3+F3+H3+I3+K3+L3+N3+O3+T3+Q3+R3</f>
        <v>27.280690000000018</v>
      </c>
      <c r="W3" s="86"/>
    </row>
    <row r="4" spans="1:23" ht="12.75">
      <c r="A4" s="2">
        <v>2</v>
      </c>
      <c r="B4" s="75" t="s">
        <v>3</v>
      </c>
      <c r="C4" s="49">
        <f>'2014年1月'!U4</f>
        <v>126.57309000000002</v>
      </c>
      <c r="D4" s="50">
        <v>1</v>
      </c>
      <c r="E4" s="51"/>
      <c r="F4" s="52">
        <f aca="true" t="shared" si="1" ref="F4:F41">-8.8235*D4</f>
        <v>-8.8235</v>
      </c>
      <c r="G4" s="50">
        <v>1</v>
      </c>
      <c r="H4" s="51"/>
      <c r="I4" s="52">
        <f aca="true" t="shared" si="2" ref="I4:I41">-8.8235*G4</f>
        <v>-8.8235</v>
      </c>
      <c r="J4" s="50">
        <v>1</v>
      </c>
      <c r="K4" s="51"/>
      <c r="L4" s="52">
        <f aca="true" t="shared" si="3" ref="L4:L41">-17.6471*J4</f>
        <v>-17.6471</v>
      </c>
      <c r="M4" s="50">
        <v>1</v>
      </c>
      <c r="N4" s="51"/>
      <c r="O4" s="52">
        <f aca="true" t="shared" si="4" ref="O4:O41">-14.25*M4</f>
        <v>-14.25</v>
      </c>
      <c r="P4" s="87">
        <v>1</v>
      </c>
      <c r="Q4" s="96"/>
      <c r="R4" s="52">
        <f aca="true" t="shared" si="5" ref="R4:R41">-8.8235*P4</f>
        <v>-8.8235</v>
      </c>
      <c r="S4" s="54"/>
      <c r="T4" s="53"/>
      <c r="U4" s="76">
        <f t="shared" si="0"/>
        <v>68.20549000000004</v>
      </c>
      <c r="W4" s="86"/>
    </row>
    <row r="5" spans="1:23" ht="12.75">
      <c r="A5" s="2">
        <v>3</v>
      </c>
      <c r="B5" s="77" t="s">
        <v>58</v>
      </c>
      <c r="C5" s="49">
        <f>'2014年1月'!U5</f>
        <v>-24.458010000000005</v>
      </c>
      <c r="D5" s="50">
        <v>1</v>
      </c>
      <c r="E5" s="51">
        <v>200</v>
      </c>
      <c r="F5" s="52">
        <f t="shared" si="1"/>
        <v>-8.8235</v>
      </c>
      <c r="G5" s="50">
        <v>1</v>
      </c>
      <c r="H5" s="51"/>
      <c r="I5" s="52">
        <f t="shared" si="2"/>
        <v>-8.8235</v>
      </c>
      <c r="J5" s="50">
        <v>1</v>
      </c>
      <c r="K5" s="51"/>
      <c r="L5" s="52">
        <f t="shared" si="3"/>
        <v>-17.6471</v>
      </c>
      <c r="M5" s="50">
        <v>1</v>
      </c>
      <c r="N5" s="51"/>
      <c r="O5" s="52">
        <f t="shared" si="4"/>
        <v>-14.25</v>
      </c>
      <c r="P5" s="87">
        <v>1</v>
      </c>
      <c r="Q5" s="96"/>
      <c r="R5" s="52">
        <f t="shared" si="5"/>
        <v>-8.8235</v>
      </c>
      <c r="S5" s="50"/>
      <c r="T5" s="53"/>
      <c r="U5" s="76">
        <f t="shared" si="0"/>
        <v>117.17439000000002</v>
      </c>
      <c r="W5" s="86"/>
    </row>
    <row r="6" spans="1:23" ht="12.75">
      <c r="A6" s="2">
        <v>4</v>
      </c>
      <c r="B6" s="110">
        <v>9631</v>
      </c>
      <c r="C6" s="55">
        <f>'2014年1月'!U6</f>
        <v>73.83998999999999</v>
      </c>
      <c r="D6" s="60">
        <v>1</v>
      </c>
      <c r="E6" s="57"/>
      <c r="F6" s="58">
        <f t="shared" si="1"/>
        <v>-8.8235</v>
      </c>
      <c r="G6" s="60">
        <v>1</v>
      </c>
      <c r="H6" s="57"/>
      <c r="I6" s="58">
        <f t="shared" si="2"/>
        <v>-8.8235</v>
      </c>
      <c r="J6" s="60">
        <v>1</v>
      </c>
      <c r="K6" s="57"/>
      <c r="L6" s="58">
        <f t="shared" si="3"/>
        <v>-17.6471</v>
      </c>
      <c r="M6" s="60">
        <v>1</v>
      </c>
      <c r="N6" s="57"/>
      <c r="O6" s="58">
        <f t="shared" si="4"/>
        <v>-14.25</v>
      </c>
      <c r="P6" s="88">
        <v>1</v>
      </c>
      <c r="Q6" s="97"/>
      <c r="R6" s="58">
        <f t="shared" si="5"/>
        <v>-8.8235</v>
      </c>
      <c r="S6" s="60"/>
      <c r="T6" s="59"/>
      <c r="U6" s="76">
        <f t="shared" si="0"/>
        <v>15.47239</v>
      </c>
      <c r="W6" s="86"/>
    </row>
    <row r="7" spans="1:23" ht="12.75">
      <c r="A7" s="2">
        <v>5</v>
      </c>
      <c r="B7" s="78" t="s">
        <v>95</v>
      </c>
      <c r="C7" s="55">
        <f>'2014年1月'!U7</f>
        <v>26.127890000000008</v>
      </c>
      <c r="D7" s="56">
        <v>1</v>
      </c>
      <c r="E7" s="57"/>
      <c r="F7" s="58">
        <f t="shared" si="1"/>
        <v>-8.8235</v>
      </c>
      <c r="G7" s="56">
        <v>1</v>
      </c>
      <c r="H7" s="57">
        <v>100</v>
      </c>
      <c r="I7" s="58">
        <f t="shared" si="2"/>
        <v>-8.8235</v>
      </c>
      <c r="J7" s="56">
        <v>1</v>
      </c>
      <c r="K7" s="57"/>
      <c r="L7" s="58">
        <f t="shared" si="3"/>
        <v>-17.6471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-8.8235</v>
      </c>
      <c r="S7" s="56"/>
      <c r="T7" s="59"/>
      <c r="U7" s="76">
        <f t="shared" si="0"/>
        <v>82.01029000000003</v>
      </c>
      <c r="W7" s="86"/>
    </row>
    <row r="8" spans="1:23" ht="12.75">
      <c r="A8" s="2">
        <v>6</v>
      </c>
      <c r="B8" s="78" t="s">
        <v>60</v>
      </c>
      <c r="C8" s="55">
        <f>'2014年1月'!U8</f>
        <v>2.8054900000000202</v>
      </c>
      <c r="D8" s="56">
        <v>1</v>
      </c>
      <c r="E8" s="57">
        <v>100</v>
      </c>
      <c r="F8" s="58">
        <f t="shared" si="1"/>
        <v>-8.8235</v>
      </c>
      <c r="G8" s="56">
        <v>1</v>
      </c>
      <c r="H8" s="57"/>
      <c r="I8" s="58">
        <f t="shared" si="2"/>
        <v>-8.8235</v>
      </c>
      <c r="J8" s="56">
        <v>1</v>
      </c>
      <c r="K8" s="57"/>
      <c r="L8" s="58">
        <f t="shared" si="3"/>
        <v>-17.6471</v>
      </c>
      <c r="M8" s="56">
        <v>1</v>
      </c>
      <c r="N8" s="57"/>
      <c r="O8" s="58">
        <f t="shared" si="4"/>
        <v>-14.25</v>
      </c>
      <c r="P8" s="89">
        <v>1</v>
      </c>
      <c r="Q8" s="98"/>
      <c r="R8" s="58">
        <f t="shared" si="5"/>
        <v>-8.8235</v>
      </c>
      <c r="S8" s="60"/>
      <c r="T8" s="59"/>
      <c r="U8" s="76">
        <f t="shared" si="0"/>
        <v>44.43789000000004</v>
      </c>
      <c r="W8" s="86"/>
    </row>
    <row r="9" spans="1:23" ht="12.75">
      <c r="A9" s="2">
        <v>7</v>
      </c>
      <c r="B9" s="109" t="s">
        <v>61</v>
      </c>
      <c r="C9" s="67">
        <f>'2014年1月'!U9</f>
        <v>17.70568999999999</v>
      </c>
      <c r="D9" s="68">
        <v>1</v>
      </c>
      <c r="E9" s="69"/>
      <c r="F9" s="70">
        <f t="shared" si="1"/>
        <v>-8.8235</v>
      </c>
      <c r="G9" s="68">
        <v>1</v>
      </c>
      <c r="H9" s="69">
        <v>100</v>
      </c>
      <c r="I9" s="70">
        <f t="shared" si="2"/>
        <v>-8.8235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-8.8235</v>
      </c>
      <c r="S9" s="68"/>
      <c r="T9" s="71"/>
      <c r="U9" s="76">
        <f t="shared" si="0"/>
        <v>91.23519</v>
      </c>
      <c r="W9" s="86"/>
    </row>
    <row r="10" spans="1:23" ht="12.75">
      <c r="A10" s="2">
        <v>8</v>
      </c>
      <c r="B10" s="81" t="s">
        <v>96</v>
      </c>
      <c r="C10" s="67">
        <f>'2014年1月'!U10</f>
        <v>41.02359000000004</v>
      </c>
      <c r="D10" s="72">
        <v>1</v>
      </c>
      <c r="E10" s="69">
        <v>200</v>
      </c>
      <c r="F10" s="70">
        <f t="shared" si="1"/>
        <v>-8.8235</v>
      </c>
      <c r="G10" s="72">
        <v>1</v>
      </c>
      <c r="H10" s="69"/>
      <c r="I10" s="70">
        <f t="shared" si="2"/>
        <v>-8.8235</v>
      </c>
      <c r="J10" s="72">
        <v>1</v>
      </c>
      <c r="K10" s="69"/>
      <c r="L10" s="70">
        <f t="shared" si="3"/>
        <v>-17.6471</v>
      </c>
      <c r="M10" s="72">
        <v>1</v>
      </c>
      <c r="N10" s="69"/>
      <c r="O10" s="70">
        <f>-14.25*M10-5</f>
        <v>-19.25</v>
      </c>
      <c r="P10" s="91">
        <v>1</v>
      </c>
      <c r="Q10" s="100"/>
      <c r="R10" s="70">
        <f t="shared" si="5"/>
        <v>-8.8235</v>
      </c>
      <c r="S10" s="72"/>
      <c r="T10" s="71"/>
      <c r="U10" s="76">
        <f t="shared" si="0"/>
        <v>177.65599000000006</v>
      </c>
      <c r="W10" s="86"/>
    </row>
    <row r="11" spans="1:23" ht="12.75">
      <c r="A11" s="2">
        <v>9</v>
      </c>
      <c r="B11" s="109" t="s">
        <v>63</v>
      </c>
      <c r="C11" s="67">
        <f>'2014年1月'!U11</f>
        <v>22.876690000000053</v>
      </c>
      <c r="D11" s="68">
        <v>1</v>
      </c>
      <c r="E11" s="69"/>
      <c r="F11" s="70">
        <f t="shared" si="1"/>
        <v>-8.8235</v>
      </c>
      <c r="G11" s="68">
        <v>1</v>
      </c>
      <c r="H11" s="69"/>
      <c r="I11" s="70">
        <f t="shared" si="2"/>
        <v>-8.8235</v>
      </c>
      <c r="J11" s="68">
        <v>1</v>
      </c>
      <c r="K11" s="69"/>
      <c r="L11" s="70">
        <f t="shared" si="3"/>
        <v>-17.6471</v>
      </c>
      <c r="M11" s="68">
        <v>1</v>
      </c>
      <c r="N11" s="69"/>
      <c r="O11" s="70">
        <f t="shared" si="4"/>
        <v>-14.25</v>
      </c>
      <c r="P11" s="90">
        <v>1</v>
      </c>
      <c r="Q11" s="99"/>
      <c r="R11" s="70">
        <f t="shared" si="5"/>
        <v>-8.8235</v>
      </c>
      <c r="S11" s="68"/>
      <c r="T11" s="71"/>
      <c r="U11" s="76">
        <f t="shared" si="0"/>
        <v>-35.49090999999994</v>
      </c>
      <c r="W11" s="86"/>
    </row>
    <row r="12" spans="1:23" ht="12.75">
      <c r="A12" s="2">
        <v>10</v>
      </c>
      <c r="B12" s="79" t="s">
        <v>193</v>
      </c>
      <c r="C12" s="61">
        <f>'2014年1月'!U12</f>
        <v>53.92428999999999</v>
      </c>
      <c r="D12" s="62">
        <v>1</v>
      </c>
      <c r="E12" s="63"/>
      <c r="F12" s="64">
        <f t="shared" si="1"/>
        <v>-8.8235</v>
      </c>
      <c r="G12" s="62">
        <v>1</v>
      </c>
      <c r="H12" s="63"/>
      <c r="I12" s="64">
        <f t="shared" si="2"/>
        <v>-8.8235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-8.8235</v>
      </c>
      <c r="S12" s="62"/>
      <c r="T12" s="66"/>
      <c r="U12" s="76">
        <f t="shared" si="0"/>
        <v>27.453789999999994</v>
      </c>
      <c r="W12" s="86"/>
    </row>
    <row r="13" spans="1:23" ht="12.75">
      <c r="A13" s="2">
        <v>11</v>
      </c>
      <c r="B13" s="79" t="s">
        <v>65</v>
      </c>
      <c r="C13" s="61">
        <f>'2014年1月'!U13</f>
        <v>183.27279</v>
      </c>
      <c r="D13" s="62">
        <v>1</v>
      </c>
      <c r="E13" s="63"/>
      <c r="F13" s="64">
        <f t="shared" si="1"/>
        <v>-8.8235</v>
      </c>
      <c r="G13" s="62">
        <v>1</v>
      </c>
      <c r="H13" s="63"/>
      <c r="I13" s="64">
        <f t="shared" si="2"/>
        <v>-8.8235</v>
      </c>
      <c r="J13" s="62">
        <v>1</v>
      </c>
      <c r="K13" s="63"/>
      <c r="L13" s="64">
        <f t="shared" si="3"/>
        <v>-17.6471</v>
      </c>
      <c r="M13" s="62">
        <v>1</v>
      </c>
      <c r="N13" s="106"/>
      <c r="O13" s="64">
        <f t="shared" si="4"/>
        <v>-14.25</v>
      </c>
      <c r="P13" s="92">
        <v>1</v>
      </c>
      <c r="Q13" s="101"/>
      <c r="R13" s="64">
        <f t="shared" si="5"/>
        <v>-8.8235</v>
      </c>
      <c r="S13" s="65"/>
      <c r="T13" s="66"/>
      <c r="U13" s="76">
        <f t="shared" si="0"/>
        <v>124.90519</v>
      </c>
      <c r="W13" s="86"/>
    </row>
    <row r="14" spans="1:23" ht="12.75">
      <c r="A14" s="2">
        <v>12</v>
      </c>
      <c r="B14" s="79" t="s">
        <v>66</v>
      </c>
      <c r="C14" s="61">
        <f>'2014年1月'!U14</f>
        <v>100.90258999999999</v>
      </c>
      <c r="D14" s="62">
        <v>1</v>
      </c>
      <c r="E14" s="63"/>
      <c r="F14" s="64">
        <f t="shared" si="1"/>
        <v>-8.8235</v>
      </c>
      <c r="G14" s="62">
        <v>1</v>
      </c>
      <c r="H14" s="63"/>
      <c r="I14" s="64">
        <f t="shared" si="2"/>
        <v>-8.8235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>
        <v>1</v>
      </c>
      <c r="Q14" s="101"/>
      <c r="R14" s="64">
        <f t="shared" si="5"/>
        <v>-8.8235</v>
      </c>
      <c r="S14" s="62"/>
      <c r="T14" s="66"/>
      <c r="U14" s="76">
        <f t="shared" si="0"/>
        <v>74.43209</v>
      </c>
      <c r="W14" s="86"/>
    </row>
    <row r="15" spans="1:23" ht="12.75">
      <c r="A15" s="2">
        <v>13</v>
      </c>
      <c r="B15" s="80" t="s">
        <v>67</v>
      </c>
      <c r="C15" s="43">
        <f>'2014年1月'!U15</f>
        <v>43.75879000000003</v>
      </c>
      <c r="D15" s="44">
        <v>1</v>
      </c>
      <c r="E15" s="45"/>
      <c r="F15" s="46">
        <f t="shared" si="1"/>
        <v>-8.8235</v>
      </c>
      <c r="G15" s="44">
        <v>1</v>
      </c>
      <c r="H15" s="45"/>
      <c r="I15" s="46">
        <f t="shared" si="2"/>
        <v>-8.8235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-14.25</v>
      </c>
      <c r="P15" s="93">
        <v>1</v>
      </c>
      <c r="Q15" s="102">
        <v>100</v>
      </c>
      <c r="R15" s="46">
        <f t="shared" si="5"/>
        <v>-8.8235</v>
      </c>
      <c r="S15" s="48"/>
      <c r="T15" s="47"/>
      <c r="U15" s="76">
        <f t="shared" si="0"/>
        <v>103.03829000000005</v>
      </c>
      <c r="W15" s="86"/>
    </row>
    <row r="16" spans="1:23" ht="12.75">
      <c r="A16" s="2">
        <v>14</v>
      </c>
      <c r="B16" s="80" t="s">
        <v>53</v>
      </c>
      <c r="C16" s="43">
        <f>'2014年1月'!U16</f>
        <v>-17.947109999999995</v>
      </c>
      <c r="D16" s="44">
        <v>1</v>
      </c>
      <c r="E16" s="45"/>
      <c r="F16" s="46">
        <f t="shared" si="1"/>
        <v>-8.8235</v>
      </c>
      <c r="G16" s="44">
        <v>1</v>
      </c>
      <c r="H16" s="45">
        <v>200</v>
      </c>
      <c r="I16" s="46">
        <f t="shared" si="2"/>
        <v>-8.8235</v>
      </c>
      <c r="J16" s="44">
        <v>1</v>
      </c>
      <c r="K16" s="45"/>
      <c r="L16" s="46">
        <f t="shared" si="3"/>
        <v>-17.6471</v>
      </c>
      <c r="M16" s="44">
        <v>1</v>
      </c>
      <c r="N16" s="45"/>
      <c r="O16" s="46">
        <f t="shared" si="4"/>
        <v>-14.25</v>
      </c>
      <c r="P16" s="93">
        <v>1</v>
      </c>
      <c r="Q16" s="102"/>
      <c r="R16" s="46">
        <f t="shared" si="5"/>
        <v>-8.8235</v>
      </c>
      <c r="S16" s="44"/>
      <c r="T16" s="47"/>
      <c r="U16" s="76">
        <f t="shared" si="0"/>
        <v>123.68529000000001</v>
      </c>
      <c r="W16" s="86"/>
    </row>
    <row r="17" spans="1:23" ht="12.75">
      <c r="A17" s="2">
        <v>15</v>
      </c>
      <c r="B17" s="80" t="s">
        <v>94</v>
      </c>
      <c r="C17" s="43">
        <f>'2014年1月'!U17</f>
        <v>110.50619</v>
      </c>
      <c r="D17" s="44">
        <v>1</v>
      </c>
      <c r="E17" s="45"/>
      <c r="F17" s="46">
        <f t="shared" si="1"/>
        <v>-8.8235</v>
      </c>
      <c r="G17" s="44">
        <v>1</v>
      </c>
      <c r="H17" s="45"/>
      <c r="I17" s="46">
        <f t="shared" si="2"/>
        <v>-8.8235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>
        <v>1</v>
      </c>
      <c r="Q17" s="102"/>
      <c r="R17" s="46">
        <f t="shared" si="5"/>
        <v>-8.8235</v>
      </c>
      <c r="S17" s="48"/>
      <c r="T17" s="47"/>
      <c r="U17" s="76">
        <f t="shared" si="0"/>
        <v>84.03569000000002</v>
      </c>
      <c r="W17" s="86"/>
    </row>
    <row r="18" spans="1:23" ht="12.75">
      <c r="A18" s="2">
        <v>16</v>
      </c>
      <c r="B18" s="77" t="s">
        <v>182</v>
      </c>
      <c r="C18" s="49">
        <f>'2014年1月'!U18</f>
        <v>31.666789999999992</v>
      </c>
      <c r="D18" s="50">
        <v>1</v>
      </c>
      <c r="E18" s="51"/>
      <c r="F18" s="52">
        <f t="shared" si="1"/>
        <v>-8.8235</v>
      </c>
      <c r="G18" s="50">
        <v>1</v>
      </c>
      <c r="H18" s="51"/>
      <c r="I18" s="52">
        <f t="shared" si="2"/>
        <v>-8.8235</v>
      </c>
      <c r="J18" s="50"/>
      <c r="K18" s="51"/>
      <c r="L18" s="52">
        <f t="shared" si="3"/>
        <v>0</v>
      </c>
      <c r="M18" s="50">
        <v>1</v>
      </c>
      <c r="N18" s="51">
        <v>100</v>
      </c>
      <c r="O18" s="52">
        <f t="shared" si="4"/>
        <v>-14.25</v>
      </c>
      <c r="P18" s="87">
        <v>1</v>
      </c>
      <c r="Q18" s="96"/>
      <c r="R18" s="52">
        <f t="shared" si="5"/>
        <v>-8.8235</v>
      </c>
      <c r="S18" s="50"/>
      <c r="T18" s="53"/>
      <c r="U18" s="76">
        <f t="shared" si="0"/>
        <v>90.94629</v>
      </c>
      <c r="W18" s="86"/>
    </row>
    <row r="19" spans="1:23" ht="12.75">
      <c r="A19" s="2">
        <v>17</v>
      </c>
      <c r="B19" s="77" t="s">
        <v>69</v>
      </c>
      <c r="C19" s="49">
        <f>'2014年1月'!U19</f>
        <v>75.21099000000004</v>
      </c>
      <c r="D19" s="50">
        <v>1</v>
      </c>
      <c r="E19" s="51"/>
      <c r="F19" s="52">
        <f t="shared" si="1"/>
        <v>-8.8235</v>
      </c>
      <c r="G19" s="50">
        <v>1</v>
      </c>
      <c r="H19" s="51"/>
      <c r="I19" s="52">
        <f t="shared" si="2"/>
        <v>-8.8235</v>
      </c>
      <c r="J19" s="50">
        <v>1</v>
      </c>
      <c r="K19" s="51"/>
      <c r="L19" s="52">
        <f t="shared" si="3"/>
        <v>-17.6471</v>
      </c>
      <c r="M19" s="50">
        <v>1</v>
      </c>
      <c r="N19" s="51"/>
      <c r="O19" s="52">
        <f t="shared" si="4"/>
        <v>-14.25</v>
      </c>
      <c r="P19" s="87">
        <v>1</v>
      </c>
      <c r="Q19" s="96"/>
      <c r="R19" s="52">
        <f t="shared" si="5"/>
        <v>-8.8235</v>
      </c>
      <c r="S19" s="54"/>
      <c r="T19" s="53"/>
      <c r="U19" s="76">
        <f t="shared" si="0"/>
        <v>16.843390000000053</v>
      </c>
      <c r="W19" s="86"/>
    </row>
    <row r="20" spans="1:23" ht="12.75">
      <c r="A20" s="2">
        <v>18</v>
      </c>
      <c r="B20" s="77" t="s">
        <v>97</v>
      </c>
      <c r="C20" s="49">
        <f>'2014年1月'!U20</f>
        <v>47.378389999999996</v>
      </c>
      <c r="D20" s="50">
        <v>1</v>
      </c>
      <c r="E20" s="51"/>
      <c r="F20" s="52">
        <f t="shared" si="1"/>
        <v>-8.8235</v>
      </c>
      <c r="G20" s="50">
        <v>1</v>
      </c>
      <c r="H20" s="51"/>
      <c r="I20" s="52">
        <f t="shared" si="2"/>
        <v>-8.8235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-8.8235</v>
      </c>
      <c r="S20" s="50"/>
      <c r="T20" s="53"/>
      <c r="U20" s="76">
        <f t="shared" si="0"/>
        <v>20.907890000000002</v>
      </c>
      <c r="W20" s="86"/>
    </row>
    <row r="21" spans="1:23" ht="12.75">
      <c r="A21" s="2">
        <v>19</v>
      </c>
      <c r="B21" s="78" t="s">
        <v>169</v>
      </c>
      <c r="C21" s="55">
        <f>'2014年1月'!U21</f>
        <v>24.018890000000017</v>
      </c>
      <c r="D21" s="56">
        <v>1</v>
      </c>
      <c r="E21" s="57"/>
      <c r="F21" s="58">
        <f t="shared" si="1"/>
        <v>-8.8235</v>
      </c>
      <c r="G21" s="56">
        <v>1</v>
      </c>
      <c r="H21" s="57"/>
      <c r="I21" s="58">
        <f t="shared" si="2"/>
        <v>-8.8235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>
        <v>1</v>
      </c>
      <c r="Q21" s="98"/>
      <c r="R21" s="58">
        <f t="shared" si="5"/>
        <v>-8.8235</v>
      </c>
      <c r="S21" s="60"/>
      <c r="T21" s="59"/>
      <c r="U21" s="76">
        <f t="shared" si="0"/>
        <v>-2.451609999999981</v>
      </c>
      <c r="W21" s="86"/>
    </row>
    <row r="22" spans="1:23" ht="12.75">
      <c r="A22" s="2">
        <v>20</v>
      </c>
      <c r="B22" s="78" t="s">
        <v>72</v>
      </c>
      <c r="C22" s="55">
        <f>'2014年1月'!U22</f>
        <v>25.129889999999975</v>
      </c>
      <c r="D22" s="56">
        <v>1</v>
      </c>
      <c r="E22" s="57"/>
      <c r="F22" s="58">
        <f t="shared" si="1"/>
        <v>-8.8235</v>
      </c>
      <c r="G22" s="56">
        <v>1</v>
      </c>
      <c r="H22" s="57"/>
      <c r="I22" s="58">
        <f t="shared" si="2"/>
        <v>-8.8235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-8.8235</v>
      </c>
      <c r="S22" s="56"/>
      <c r="T22" s="59"/>
      <c r="U22" s="76">
        <f t="shared" si="0"/>
        <v>-1.340610000000023</v>
      </c>
      <c r="W22" s="86"/>
    </row>
    <row r="23" spans="1:23" ht="12.75">
      <c r="A23" s="2">
        <v>21</v>
      </c>
      <c r="B23" s="78" t="s">
        <v>73</v>
      </c>
      <c r="C23" s="55">
        <f>'2014年1月'!U23</f>
        <v>360.53069</v>
      </c>
      <c r="D23" s="56">
        <v>1</v>
      </c>
      <c r="E23" s="57"/>
      <c r="F23" s="58">
        <f t="shared" si="1"/>
        <v>-8.8235</v>
      </c>
      <c r="G23" s="56">
        <v>1</v>
      </c>
      <c r="H23" s="57"/>
      <c r="I23" s="58">
        <f t="shared" si="2"/>
        <v>-8.8235</v>
      </c>
      <c r="J23" s="56">
        <v>1</v>
      </c>
      <c r="K23" s="57"/>
      <c r="L23" s="58">
        <f t="shared" si="3"/>
        <v>-17.6471</v>
      </c>
      <c r="M23" s="56">
        <v>1</v>
      </c>
      <c r="N23" s="57"/>
      <c r="O23" s="58">
        <f t="shared" si="4"/>
        <v>-14.25</v>
      </c>
      <c r="P23" s="89">
        <v>1</v>
      </c>
      <c r="Q23" s="98"/>
      <c r="R23" s="58">
        <f t="shared" si="5"/>
        <v>-8.8235</v>
      </c>
      <c r="S23" s="60"/>
      <c r="T23" s="59"/>
      <c r="U23" s="76">
        <f t="shared" si="0"/>
        <v>302.1630899999999</v>
      </c>
      <c r="W23" s="86"/>
    </row>
    <row r="24" spans="1:23" ht="12.75">
      <c r="A24" s="2">
        <v>22</v>
      </c>
      <c r="B24" s="81" t="s">
        <v>74</v>
      </c>
      <c r="C24" s="67">
        <f>'2014年1月'!U24</f>
        <v>32.28579000000006</v>
      </c>
      <c r="D24" s="68">
        <v>1</v>
      </c>
      <c r="E24" s="69"/>
      <c r="F24" s="70">
        <f t="shared" si="1"/>
        <v>-8.8235</v>
      </c>
      <c r="G24" s="68">
        <v>1</v>
      </c>
      <c r="H24" s="69"/>
      <c r="I24" s="70">
        <f t="shared" si="2"/>
        <v>-8.8235</v>
      </c>
      <c r="J24" s="68">
        <v>1</v>
      </c>
      <c r="K24" s="69"/>
      <c r="L24" s="70">
        <f t="shared" si="3"/>
        <v>-17.6471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-8.8235</v>
      </c>
      <c r="S24" s="68"/>
      <c r="T24" s="71"/>
      <c r="U24" s="76">
        <f t="shared" si="0"/>
        <v>-11.831809999999933</v>
      </c>
      <c r="W24" s="86"/>
    </row>
    <row r="25" spans="1:23" ht="12.75">
      <c r="A25" s="2">
        <v>23</v>
      </c>
      <c r="B25" s="81" t="s">
        <v>75</v>
      </c>
      <c r="C25" s="67">
        <f>'2014年1月'!U25</f>
        <v>8.57779</v>
      </c>
      <c r="D25" s="68">
        <v>1</v>
      </c>
      <c r="E25" s="69"/>
      <c r="F25" s="70">
        <f t="shared" si="1"/>
        <v>-8.8235</v>
      </c>
      <c r="G25" s="68">
        <v>1</v>
      </c>
      <c r="H25" s="69">
        <v>200</v>
      </c>
      <c r="I25" s="70">
        <f t="shared" si="2"/>
        <v>-8.8235</v>
      </c>
      <c r="J25" s="68">
        <v>1</v>
      </c>
      <c r="K25" s="69"/>
      <c r="L25" s="70">
        <f t="shared" si="3"/>
        <v>-17.6471</v>
      </c>
      <c r="M25" s="68">
        <v>1</v>
      </c>
      <c r="N25" s="69"/>
      <c r="O25" s="70">
        <f t="shared" si="4"/>
        <v>-14.25</v>
      </c>
      <c r="P25" s="90">
        <v>1</v>
      </c>
      <c r="Q25" s="99"/>
      <c r="R25" s="70">
        <f t="shared" si="5"/>
        <v>-8.8235</v>
      </c>
      <c r="S25" s="68"/>
      <c r="T25" s="71"/>
      <c r="U25" s="76">
        <f t="shared" si="0"/>
        <v>150.21019</v>
      </c>
      <c r="W25" s="86"/>
    </row>
    <row r="26" spans="1:23" ht="12.75">
      <c r="A26" s="2">
        <v>24</v>
      </c>
      <c r="B26" s="81" t="s">
        <v>92</v>
      </c>
      <c r="C26" s="67">
        <f>'2014年1月'!U26</f>
        <v>82.35689000000005</v>
      </c>
      <c r="D26" s="68">
        <v>1</v>
      </c>
      <c r="E26" s="69"/>
      <c r="F26" s="70">
        <f t="shared" si="1"/>
        <v>-8.8235</v>
      </c>
      <c r="G26" s="68">
        <v>1</v>
      </c>
      <c r="H26" s="69"/>
      <c r="I26" s="70">
        <f t="shared" si="2"/>
        <v>-8.8235</v>
      </c>
      <c r="J26" s="68"/>
      <c r="K26" s="69"/>
      <c r="L26" s="70">
        <f t="shared" si="3"/>
        <v>0</v>
      </c>
      <c r="M26" s="68">
        <v>1</v>
      </c>
      <c r="N26" s="69"/>
      <c r="O26" s="70">
        <f>-14.25*M26-10</f>
        <v>-24.25</v>
      </c>
      <c r="P26" s="90">
        <v>1</v>
      </c>
      <c r="Q26" s="99"/>
      <c r="R26" s="70">
        <f t="shared" si="5"/>
        <v>-8.8235</v>
      </c>
      <c r="S26" s="72"/>
      <c r="T26" s="71"/>
      <c r="U26" s="76">
        <f t="shared" si="0"/>
        <v>31.63639000000006</v>
      </c>
      <c r="W26" s="86"/>
    </row>
    <row r="27" spans="1:23" ht="12.75">
      <c r="A27" s="2">
        <v>25</v>
      </c>
      <c r="B27" s="79" t="s">
        <v>98</v>
      </c>
      <c r="C27" s="61">
        <f>'2014年1月'!U27</f>
        <v>56.088689999999986</v>
      </c>
      <c r="D27" s="62">
        <v>1</v>
      </c>
      <c r="E27" s="73"/>
      <c r="F27" s="64">
        <f t="shared" si="1"/>
        <v>-8.8235</v>
      </c>
      <c r="G27" s="62">
        <v>1</v>
      </c>
      <c r="H27" s="73"/>
      <c r="I27" s="64">
        <f t="shared" si="2"/>
        <v>-8.8235</v>
      </c>
      <c r="J27" s="62"/>
      <c r="K27" s="73"/>
      <c r="L27" s="64">
        <f t="shared" si="3"/>
        <v>0</v>
      </c>
      <c r="M27" s="62">
        <v>1</v>
      </c>
      <c r="N27" s="73"/>
      <c r="O27" s="64">
        <f t="shared" si="4"/>
        <v>-14.25</v>
      </c>
      <c r="P27" s="92">
        <v>1</v>
      </c>
      <c r="Q27" s="101"/>
      <c r="R27" s="64">
        <f t="shared" si="5"/>
        <v>-8.8235</v>
      </c>
      <c r="S27" s="62"/>
      <c r="T27" s="66"/>
      <c r="U27" s="76">
        <f t="shared" si="0"/>
        <v>15.368189999999995</v>
      </c>
      <c r="W27" s="86"/>
    </row>
    <row r="28" spans="1:23" ht="12.75">
      <c r="A28" s="2">
        <v>26</v>
      </c>
      <c r="B28" s="79" t="s">
        <v>99</v>
      </c>
      <c r="C28" s="61">
        <f>'2014年1月'!U28</f>
        <v>112.64749000000006</v>
      </c>
      <c r="D28" s="65">
        <v>1</v>
      </c>
      <c r="E28" s="73"/>
      <c r="F28" s="64">
        <f t="shared" si="1"/>
        <v>-8.8235</v>
      </c>
      <c r="G28" s="65">
        <v>1</v>
      </c>
      <c r="H28" s="73"/>
      <c r="I28" s="64">
        <f t="shared" si="2"/>
        <v>-8.8235</v>
      </c>
      <c r="J28" s="65">
        <v>1</v>
      </c>
      <c r="K28" s="73"/>
      <c r="L28" s="64">
        <f t="shared" si="3"/>
        <v>-17.6471</v>
      </c>
      <c r="M28" s="65">
        <v>1</v>
      </c>
      <c r="N28" s="73"/>
      <c r="O28" s="64">
        <f t="shared" si="4"/>
        <v>-14.25</v>
      </c>
      <c r="P28" s="94">
        <v>1</v>
      </c>
      <c r="Q28" s="103"/>
      <c r="R28" s="64">
        <f t="shared" si="5"/>
        <v>-8.8235</v>
      </c>
      <c r="S28" s="65"/>
      <c r="T28" s="66"/>
      <c r="U28" s="76">
        <f t="shared" si="0"/>
        <v>54.27989000000008</v>
      </c>
      <c r="W28" s="86"/>
    </row>
    <row r="29" spans="1:23" ht="12.75">
      <c r="A29" s="2">
        <v>27</v>
      </c>
      <c r="B29" s="79" t="s">
        <v>100</v>
      </c>
      <c r="C29" s="61">
        <f>'2014年1月'!U29</f>
        <v>154.79748999999995</v>
      </c>
      <c r="D29" s="62">
        <v>1</v>
      </c>
      <c r="E29" s="63"/>
      <c r="F29" s="64">
        <f t="shared" si="1"/>
        <v>-8.8235</v>
      </c>
      <c r="G29" s="62">
        <v>1</v>
      </c>
      <c r="H29" s="63"/>
      <c r="I29" s="64">
        <f t="shared" si="2"/>
        <v>-8.8235</v>
      </c>
      <c r="J29" s="62">
        <v>1</v>
      </c>
      <c r="K29" s="63"/>
      <c r="L29" s="64">
        <f t="shared" si="3"/>
        <v>-17.6471</v>
      </c>
      <c r="M29" s="62">
        <v>1</v>
      </c>
      <c r="N29" s="63"/>
      <c r="O29" s="64">
        <f t="shared" si="4"/>
        <v>-14.25</v>
      </c>
      <c r="P29" s="92">
        <v>1</v>
      </c>
      <c r="Q29" s="101"/>
      <c r="R29" s="64">
        <f t="shared" si="5"/>
        <v>-8.8235</v>
      </c>
      <c r="S29" s="62"/>
      <c r="T29" s="66"/>
      <c r="U29" s="76">
        <f t="shared" si="0"/>
        <v>96.42988999999997</v>
      </c>
      <c r="W29" s="86"/>
    </row>
    <row r="30" spans="1:23" ht="12.75">
      <c r="A30" s="2">
        <v>28</v>
      </c>
      <c r="B30" s="80" t="s">
        <v>80</v>
      </c>
      <c r="C30" s="43">
        <f>'2014年1月'!U30</f>
        <v>151.42260000000002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151.42260000000002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'2014年1月'!U31</f>
        <v>16.163890000000002</v>
      </c>
      <c r="D31" s="44">
        <v>1</v>
      </c>
      <c r="E31" s="74"/>
      <c r="F31" s="46">
        <f t="shared" si="1"/>
        <v>-8.8235</v>
      </c>
      <c r="G31" s="44">
        <v>1</v>
      </c>
      <c r="H31" s="74"/>
      <c r="I31" s="46">
        <f t="shared" si="2"/>
        <v>-8.8235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>
        <v>1</v>
      </c>
      <c r="Q31" s="102"/>
      <c r="R31" s="46">
        <f t="shared" si="5"/>
        <v>-8.8235</v>
      </c>
      <c r="S31" s="44"/>
      <c r="T31" s="47"/>
      <c r="U31" s="76">
        <f t="shared" si="0"/>
        <v>-10.306609999999996</v>
      </c>
      <c r="W31" s="86"/>
    </row>
    <row r="32" spans="1:23" ht="12.75">
      <c r="A32" s="2">
        <v>30</v>
      </c>
      <c r="B32" s="80" t="s">
        <v>170</v>
      </c>
      <c r="C32" s="43">
        <f>'2014年1月'!U32</f>
        <v>39.38809000000001</v>
      </c>
      <c r="D32" s="48">
        <v>1</v>
      </c>
      <c r="E32" s="74"/>
      <c r="F32" s="46">
        <f t="shared" si="1"/>
        <v>-8.8235</v>
      </c>
      <c r="G32" s="48">
        <v>1</v>
      </c>
      <c r="H32" s="74"/>
      <c r="I32" s="46">
        <f t="shared" si="2"/>
        <v>-8.8235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>
        <v>1</v>
      </c>
      <c r="Q32" s="104"/>
      <c r="R32" s="46">
        <f t="shared" si="5"/>
        <v>-8.8235</v>
      </c>
      <c r="S32" s="48"/>
      <c r="T32" s="47"/>
      <c r="U32" s="76">
        <f t="shared" si="0"/>
        <v>12.917590000000015</v>
      </c>
      <c r="W32" s="86"/>
    </row>
    <row r="33" spans="1:23" ht="12.75">
      <c r="A33" s="2">
        <v>31</v>
      </c>
      <c r="B33" s="77" t="s">
        <v>104</v>
      </c>
      <c r="C33" s="49">
        <f>'2014年1月'!U33</f>
        <v>60.240289999999995</v>
      </c>
      <c r="D33" s="50">
        <v>1</v>
      </c>
      <c r="E33" s="51"/>
      <c r="F33" s="52">
        <f t="shared" si="1"/>
        <v>-8.8235</v>
      </c>
      <c r="G33" s="50">
        <v>1</v>
      </c>
      <c r="H33" s="51"/>
      <c r="I33" s="52">
        <f t="shared" si="2"/>
        <v>-8.8235</v>
      </c>
      <c r="J33" s="50"/>
      <c r="K33" s="51"/>
      <c r="L33" s="52">
        <f t="shared" si="3"/>
        <v>0</v>
      </c>
      <c r="M33" s="50"/>
      <c r="N33" s="51"/>
      <c r="O33" s="52">
        <f t="shared" si="4"/>
        <v>0</v>
      </c>
      <c r="P33" s="87">
        <v>1</v>
      </c>
      <c r="Q33" s="96"/>
      <c r="R33" s="52">
        <f t="shared" si="5"/>
        <v>-8.8235</v>
      </c>
      <c r="S33" s="50"/>
      <c r="T33" s="53"/>
      <c r="U33" s="76">
        <f t="shared" si="0"/>
        <v>33.76979</v>
      </c>
      <c r="W33" s="86"/>
    </row>
    <row r="34" spans="1:23" ht="12.75">
      <c r="A34" s="2">
        <v>32</v>
      </c>
      <c r="B34" s="77" t="s">
        <v>190</v>
      </c>
      <c r="C34" s="49">
        <f>'2014年1月'!U34</f>
        <v>37.951690000000006</v>
      </c>
      <c r="D34" s="50">
        <v>1</v>
      </c>
      <c r="E34" s="51"/>
      <c r="F34" s="52">
        <f t="shared" si="1"/>
        <v>-8.8235</v>
      </c>
      <c r="G34" s="85">
        <v>1</v>
      </c>
      <c r="H34" s="51"/>
      <c r="I34" s="52">
        <f t="shared" si="2"/>
        <v>-8.8235</v>
      </c>
      <c r="J34" s="85">
        <v>1</v>
      </c>
      <c r="K34" s="51"/>
      <c r="L34" s="52">
        <f t="shared" si="3"/>
        <v>-17.6471</v>
      </c>
      <c r="M34" s="50">
        <v>1</v>
      </c>
      <c r="N34" s="51">
        <v>100</v>
      </c>
      <c r="O34" s="52">
        <f t="shared" si="4"/>
        <v>-14.25</v>
      </c>
      <c r="P34" s="87">
        <v>1</v>
      </c>
      <c r="Q34" s="96"/>
      <c r="R34" s="52">
        <f t="shared" si="5"/>
        <v>-8.8235</v>
      </c>
      <c r="S34" s="54"/>
      <c r="T34" s="53"/>
      <c r="U34" s="76">
        <f t="shared" si="0"/>
        <v>79.58409000000002</v>
      </c>
      <c r="W34" s="86"/>
    </row>
    <row r="35" spans="1:23" ht="12.75">
      <c r="A35" s="2">
        <v>33</v>
      </c>
      <c r="B35" s="77" t="s">
        <v>207</v>
      </c>
      <c r="C35" s="49">
        <f>'2014年1月'!U35</f>
        <v>147.90639</v>
      </c>
      <c r="D35" s="50">
        <v>1</v>
      </c>
      <c r="E35" s="51"/>
      <c r="F35" s="52">
        <f t="shared" si="1"/>
        <v>-8.8235</v>
      </c>
      <c r="G35" s="50">
        <v>1</v>
      </c>
      <c r="H35" s="51"/>
      <c r="I35" s="52">
        <f t="shared" si="2"/>
        <v>-8.8235</v>
      </c>
      <c r="J35" s="50"/>
      <c r="K35" s="51"/>
      <c r="L35" s="52">
        <f t="shared" si="3"/>
        <v>0</v>
      </c>
      <c r="M35" s="50">
        <v>1</v>
      </c>
      <c r="N35" s="51"/>
      <c r="O35" s="52">
        <f t="shared" si="4"/>
        <v>-14.25</v>
      </c>
      <c r="P35" s="87">
        <v>1</v>
      </c>
      <c r="Q35" s="96"/>
      <c r="R35" s="52">
        <f t="shared" si="5"/>
        <v>-8.8235</v>
      </c>
      <c r="S35" s="50"/>
      <c r="T35" s="53"/>
      <c r="U35" s="76">
        <f t="shared" si="0"/>
        <v>107.18589</v>
      </c>
      <c r="W35" s="86"/>
    </row>
    <row r="36" spans="1:23" ht="12.75">
      <c r="A36" s="2">
        <v>34</v>
      </c>
      <c r="B36" s="78" t="s">
        <v>101</v>
      </c>
      <c r="C36" s="55">
        <f>'2014年1月'!U36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'2014年1月'!U37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'2014年1月'!U38</f>
        <v>58.49288999999999</v>
      </c>
      <c r="D38" s="56">
        <v>1</v>
      </c>
      <c r="E38" s="57"/>
      <c r="F38" s="58">
        <f t="shared" si="1"/>
        <v>-8.8235</v>
      </c>
      <c r="G38" s="56">
        <v>1</v>
      </c>
      <c r="H38" s="57"/>
      <c r="I38" s="58">
        <f t="shared" si="2"/>
        <v>-8.8235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>
        <v>1</v>
      </c>
      <c r="Q38" s="98"/>
      <c r="R38" s="58">
        <f t="shared" si="5"/>
        <v>-8.8235</v>
      </c>
      <c r="S38" s="60"/>
      <c r="T38" s="59"/>
      <c r="U38" s="76">
        <f t="shared" si="0"/>
        <v>32.02239</v>
      </c>
      <c r="W38" s="86"/>
    </row>
    <row r="39" spans="1:23" ht="12.75">
      <c r="A39" s="2">
        <v>37</v>
      </c>
      <c r="B39" s="81" t="s">
        <v>200</v>
      </c>
      <c r="C39" s="67">
        <f>'2014年1月'!U39</f>
        <v>174.56359999999998</v>
      </c>
      <c r="D39" s="68">
        <v>1</v>
      </c>
      <c r="E39" s="69"/>
      <c r="F39" s="70">
        <f t="shared" si="1"/>
        <v>-8.8235</v>
      </c>
      <c r="G39" s="68">
        <v>1</v>
      </c>
      <c r="H39" s="69"/>
      <c r="I39" s="70">
        <f t="shared" si="2"/>
        <v>-8.8235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>
        <v>1</v>
      </c>
      <c r="Q39" s="99"/>
      <c r="R39" s="70">
        <f t="shared" si="5"/>
        <v>-8.8235</v>
      </c>
      <c r="S39" s="68"/>
      <c r="T39" s="71"/>
      <c r="U39" s="76">
        <f t="shared" si="0"/>
        <v>148.0931</v>
      </c>
      <c r="W39" s="86"/>
    </row>
    <row r="40" spans="1:23" ht="12.75">
      <c r="A40" s="2">
        <v>38</v>
      </c>
      <c r="B40" s="81"/>
      <c r="C40" s="67">
        <f>'2014年1月'!U40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'2014年1月'!U41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34</v>
      </c>
      <c r="F43" s="1">
        <f>E54/D43</f>
        <v>8.823529411764707</v>
      </c>
      <c r="G43" s="1">
        <f>SUM(G3:G41)</f>
        <v>34</v>
      </c>
      <c r="I43" s="1">
        <f>H54/G43</f>
        <v>8.823529411764707</v>
      </c>
      <c r="J43" s="1">
        <f>SUM(J3:J41)</f>
        <v>17</v>
      </c>
      <c r="L43" s="1">
        <f>K54/J43</f>
        <v>17.647058823529413</v>
      </c>
      <c r="M43" s="1">
        <f>SUM(M3:M41)</f>
        <v>20</v>
      </c>
      <c r="O43" s="1">
        <f>N54/M43</f>
        <v>14.25</v>
      </c>
      <c r="P43" s="1">
        <f>SUM(P3:P41)</f>
        <v>34</v>
      </c>
      <c r="R43" s="1">
        <f>Q54/P43</f>
        <v>8.823529411764707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-299.999</v>
      </c>
      <c r="H45" s="28" t="s">
        <v>84</v>
      </c>
      <c r="I45" s="1">
        <f>SUM(I3:I41)</f>
        <v>-299.999</v>
      </c>
      <c r="K45" s="28" t="s">
        <v>84</v>
      </c>
      <c r="L45" s="1">
        <f>SUM(L3:L41)</f>
        <v>-300.0007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-299.999</v>
      </c>
      <c r="U45" s="19"/>
    </row>
    <row r="46" spans="2:21" ht="12.75">
      <c r="B46" s="29" t="s">
        <v>85</v>
      </c>
      <c r="C46" s="27">
        <f>SUM(C3:C41)</f>
        <v>2600.0002700000005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2500.00257</v>
      </c>
      <c r="W47" s="86">
        <f>U47</f>
        <v>2500.00257</v>
      </c>
    </row>
    <row r="48" spans="2:20" ht="12.75" customHeight="1">
      <c r="B48" s="86"/>
      <c r="D48" s="117" t="s">
        <v>210</v>
      </c>
      <c r="E48" s="118"/>
      <c r="F48" s="119"/>
      <c r="G48" s="117" t="s">
        <v>214</v>
      </c>
      <c r="H48" s="118"/>
      <c r="I48" s="119"/>
      <c r="J48" s="117" t="s">
        <v>211</v>
      </c>
      <c r="K48" s="118"/>
      <c r="L48" s="119"/>
      <c r="M48" s="117" t="s">
        <v>212</v>
      </c>
      <c r="N48" s="118"/>
      <c r="O48" s="119"/>
      <c r="P48" s="117" t="s">
        <v>55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285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 t="s">
        <v>213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 t="s">
        <v>92</v>
      </c>
      <c r="N70" s="28">
        <v>10</v>
      </c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>
        <f>SUM(N70:N71)</f>
        <v>10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 t="s">
        <v>96</v>
      </c>
      <c r="N77" s="1">
        <v>5</v>
      </c>
      <c r="P77" s="105"/>
    </row>
    <row r="81" ht="12.75">
      <c r="N81" s="1">
        <f>SUM(N77:N80)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 t="s">
        <v>75</v>
      </c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U5" sqref="U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41700</v>
      </c>
      <c r="E1" s="126"/>
      <c r="F1" s="127"/>
      <c r="G1" s="16"/>
      <c r="H1" s="24">
        <v>41707</v>
      </c>
      <c r="I1" s="17"/>
      <c r="J1" s="30"/>
      <c r="K1" s="24">
        <v>41714</v>
      </c>
      <c r="L1" s="31"/>
      <c r="M1" s="16"/>
      <c r="N1" s="24">
        <v>41721</v>
      </c>
      <c r="O1" s="17"/>
      <c r="P1" s="16"/>
      <c r="Q1" s="24">
        <v>41728</v>
      </c>
      <c r="R1" s="17"/>
      <c r="S1" s="128" t="s">
        <v>265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'2014年2月'!U3</f>
        <v>27.280690000000018</v>
      </c>
      <c r="D3" s="50">
        <v>1</v>
      </c>
      <c r="E3" s="51"/>
      <c r="F3" s="52">
        <f>-12.0833*D3</f>
        <v>-12.0833</v>
      </c>
      <c r="G3" s="50">
        <v>1</v>
      </c>
      <c r="H3" s="51"/>
      <c r="I3" s="52">
        <f>-13.4091*G3</f>
        <v>-13.4091</v>
      </c>
      <c r="J3" s="50">
        <v>1</v>
      </c>
      <c r="K3" s="51">
        <v>145</v>
      </c>
      <c r="L3" s="52">
        <f>-11.6667*J3</f>
        <v>-11.6667</v>
      </c>
      <c r="M3" s="50"/>
      <c r="N3" s="51"/>
      <c r="O3" s="52">
        <f>-15.7895*M3</f>
        <v>0</v>
      </c>
      <c r="P3" s="87">
        <v>1</v>
      </c>
      <c r="Q3" s="96"/>
      <c r="R3" s="52">
        <f>-14.2857*P3</f>
        <v>-14.2857</v>
      </c>
      <c r="S3" s="50">
        <v>1</v>
      </c>
      <c r="T3" s="53">
        <f>-4.1429*S3</f>
        <v>-4.1429</v>
      </c>
      <c r="U3" s="76">
        <f aca="true" t="shared" si="0" ref="U3:U41">C3+E3+F3+H3+I3+K3+L3+N3+O3+T3+Q3+R3</f>
        <v>116.69299000000002</v>
      </c>
      <c r="W3" s="86"/>
    </row>
    <row r="4" spans="1:23" ht="12.75">
      <c r="A4" s="2">
        <v>2</v>
      </c>
      <c r="B4" s="75" t="s">
        <v>3</v>
      </c>
      <c r="C4" s="49">
        <f>'2014年2月'!U4</f>
        <v>68.20549000000004</v>
      </c>
      <c r="D4" s="50">
        <v>1</v>
      </c>
      <c r="E4" s="51"/>
      <c r="F4" s="52">
        <f aca="true" t="shared" si="1" ref="F4:F41">-12.0833*D4</f>
        <v>-12.0833</v>
      </c>
      <c r="G4" s="50">
        <v>1</v>
      </c>
      <c r="H4" s="51"/>
      <c r="I4" s="52">
        <f aca="true" t="shared" si="2" ref="I4:I41">-13.4091*G4</f>
        <v>-13.4091</v>
      </c>
      <c r="J4" s="50">
        <v>1</v>
      </c>
      <c r="K4" s="51"/>
      <c r="L4" s="52">
        <f aca="true" t="shared" si="3" ref="L4:L41">-11.6667*J4</f>
        <v>-11.6667</v>
      </c>
      <c r="M4" s="50">
        <v>1</v>
      </c>
      <c r="N4" s="51"/>
      <c r="O4" s="52">
        <f aca="true" t="shared" si="4" ref="O4:O41">-15.7895*M4</f>
        <v>-15.7895</v>
      </c>
      <c r="P4" s="87">
        <v>1</v>
      </c>
      <c r="Q4" s="96"/>
      <c r="R4" s="52">
        <f aca="true" t="shared" si="5" ref="R4:R41">-14.2857*P4</f>
        <v>-14.2857</v>
      </c>
      <c r="S4" s="54">
        <v>1</v>
      </c>
      <c r="T4" s="53">
        <f aca="true" t="shared" si="6" ref="T4:T41">-4.1429*S4</f>
        <v>-4.1429</v>
      </c>
      <c r="U4" s="76">
        <f t="shared" si="0"/>
        <v>-3.1717099999999636</v>
      </c>
      <c r="W4" s="86"/>
    </row>
    <row r="5" spans="1:23" ht="12.75">
      <c r="A5" s="2">
        <v>3</v>
      </c>
      <c r="B5" s="77" t="s">
        <v>215</v>
      </c>
      <c r="C5" s="49">
        <f>'2014年2月'!U5</f>
        <v>117.17439000000002</v>
      </c>
      <c r="D5" s="50">
        <v>1</v>
      </c>
      <c r="E5" s="51"/>
      <c r="F5" s="52">
        <f t="shared" si="1"/>
        <v>-12.0833</v>
      </c>
      <c r="G5" s="50">
        <v>1</v>
      </c>
      <c r="H5" s="51"/>
      <c r="I5" s="52">
        <f t="shared" si="2"/>
        <v>-13.4091</v>
      </c>
      <c r="J5" s="50">
        <v>1</v>
      </c>
      <c r="K5" s="51"/>
      <c r="L5" s="52">
        <f t="shared" si="3"/>
        <v>-11.6667</v>
      </c>
      <c r="M5" s="50">
        <v>1</v>
      </c>
      <c r="N5" s="51"/>
      <c r="O5" s="52">
        <f t="shared" si="4"/>
        <v>-15.7895</v>
      </c>
      <c r="P5" s="87">
        <v>1</v>
      </c>
      <c r="Q5" s="96"/>
      <c r="R5" s="52">
        <f t="shared" si="5"/>
        <v>-14.2857</v>
      </c>
      <c r="S5" s="50">
        <v>1</v>
      </c>
      <c r="T5" s="53">
        <f t="shared" si="6"/>
        <v>-4.1429</v>
      </c>
      <c r="U5" s="76">
        <f t="shared" si="0"/>
        <v>45.79719000000002</v>
      </c>
      <c r="W5" s="86"/>
    </row>
    <row r="6" spans="1:23" ht="12.75">
      <c r="A6" s="2">
        <v>4</v>
      </c>
      <c r="B6" s="110">
        <v>9631</v>
      </c>
      <c r="C6" s="55">
        <f>'2014年2月'!U6</f>
        <v>15.47239</v>
      </c>
      <c r="D6" s="60">
        <v>1</v>
      </c>
      <c r="E6" s="57"/>
      <c r="F6" s="58">
        <f t="shared" si="1"/>
        <v>-12.0833</v>
      </c>
      <c r="G6" s="60"/>
      <c r="H6" s="57"/>
      <c r="I6" s="58">
        <f t="shared" si="2"/>
        <v>0</v>
      </c>
      <c r="J6" s="60">
        <v>1</v>
      </c>
      <c r="K6" s="57">
        <v>100</v>
      </c>
      <c r="L6" s="58">
        <f t="shared" si="3"/>
        <v>-11.6667</v>
      </c>
      <c r="M6" s="60">
        <v>1</v>
      </c>
      <c r="N6" s="57"/>
      <c r="O6" s="58">
        <f t="shared" si="4"/>
        <v>-15.7895</v>
      </c>
      <c r="P6" s="88">
        <v>1</v>
      </c>
      <c r="Q6" s="97"/>
      <c r="R6" s="58">
        <f t="shared" si="5"/>
        <v>-14.2857</v>
      </c>
      <c r="S6" s="60">
        <v>1</v>
      </c>
      <c r="T6" s="59">
        <f t="shared" si="6"/>
        <v>-4.1429</v>
      </c>
      <c r="U6" s="76">
        <f t="shared" si="0"/>
        <v>57.50428999999999</v>
      </c>
      <c r="W6" s="86"/>
    </row>
    <row r="7" spans="1:23" ht="12.75">
      <c r="A7" s="2">
        <v>5</v>
      </c>
      <c r="B7" s="78" t="s">
        <v>216</v>
      </c>
      <c r="C7" s="55">
        <f>'2014年2月'!U7</f>
        <v>82.01029000000003</v>
      </c>
      <c r="D7" s="56">
        <v>1</v>
      </c>
      <c r="E7" s="57"/>
      <c r="F7" s="58">
        <f t="shared" si="1"/>
        <v>-12.0833</v>
      </c>
      <c r="G7" s="56">
        <v>1</v>
      </c>
      <c r="H7" s="57"/>
      <c r="I7" s="58">
        <f t="shared" si="2"/>
        <v>-13.4091</v>
      </c>
      <c r="J7" s="56">
        <v>1</v>
      </c>
      <c r="K7" s="57"/>
      <c r="L7" s="58">
        <f t="shared" si="3"/>
        <v>-11.6667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-14.2857</v>
      </c>
      <c r="S7" s="56">
        <v>1</v>
      </c>
      <c r="T7" s="59">
        <f t="shared" si="6"/>
        <v>-4.1429</v>
      </c>
      <c r="U7" s="76">
        <f t="shared" si="0"/>
        <v>26.422590000000035</v>
      </c>
      <c r="W7" s="86"/>
    </row>
    <row r="8" spans="1:23" ht="12.75">
      <c r="A8" s="2">
        <v>6</v>
      </c>
      <c r="B8" s="78" t="s">
        <v>217</v>
      </c>
      <c r="C8" s="55">
        <f>'2014年2月'!U8</f>
        <v>44.43789000000004</v>
      </c>
      <c r="D8" s="56">
        <v>1</v>
      </c>
      <c r="E8" s="57"/>
      <c r="F8" s="58">
        <f t="shared" si="1"/>
        <v>-12.0833</v>
      </c>
      <c r="G8" s="56">
        <v>1</v>
      </c>
      <c r="H8" s="57"/>
      <c r="I8" s="58">
        <f t="shared" si="2"/>
        <v>-13.4091</v>
      </c>
      <c r="J8" s="56"/>
      <c r="K8" s="57"/>
      <c r="L8" s="58">
        <f t="shared" si="3"/>
        <v>0</v>
      </c>
      <c r="M8" s="56">
        <v>1</v>
      </c>
      <c r="N8" s="57"/>
      <c r="O8" s="58">
        <f t="shared" si="4"/>
        <v>-15.7895</v>
      </c>
      <c r="P8" s="89">
        <v>1</v>
      </c>
      <c r="Q8" s="98">
        <v>200</v>
      </c>
      <c r="R8" s="58">
        <f t="shared" si="5"/>
        <v>-14.2857</v>
      </c>
      <c r="S8" s="60">
        <v>1</v>
      </c>
      <c r="T8" s="59">
        <f t="shared" si="6"/>
        <v>-4.1429</v>
      </c>
      <c r="U8" s="76">
        <f t="shared" si="0"/>
        <v>184.72739000000004</v>
      </c>
      <c r="W8" s="86"/>
    </row>
    <row r="9" spans="1:23" ht="12.75">
      <c r="A9" s="2">
        <v>7</v>
      </c>
      <c r="B9" s="109" t="s">
        <v>218</v>
      </c>
      <c r="C9" s="67">
        <f>'2014年2月'!U9</f>
        <v>91.23519</v>
      </c>
      <c r="D9" s="68"/>
      <c r="E9" s="69"/>
      <c r="F9" s="70">
        <f t="shared" si="1"/>
        <v>0</v>
      </c>
      <c r="G9" s="68">
        <v>1</v>
      </c>
      <c r="H9" s="69"/>
      <c r="I9" s="70">
        <f t="shared" si="2"/>
        <v>-13.4091</v>
      </c>
      <c r="J9" s="68">
        <v>1</v>
      </c>
      <c r="K9" s="69"/>
      <c r="L9" s="70">
        <f t="shared" si="3"/>
        <v>-11.6667</v>
      </c>
      <c r="M9" s="68">
        <v>1</v>
      </c>
      <c r="N9" s="69"/>
      <c r="O9" s="70">
        <f t="shared" si="4"/>
        <v>-15.7895</v>
      </c>
      <c r="P9" s="90">
        <v>1</v>
      </c>
      <c r="Q9" s="99"/>
      <c r="R9" s="70">
        <f t="shared" si="5"/>
        <v>-14.2857</v>
      </c>
      <c r="S9" s="68">
        <v>1</v>
      </c>
      <c r="T9" s="71">
        <f t="shared" si="6"/>
        <v>-4.1429</v>
      </c>
      <c r="U9" s="76">
        <f t="shared" si="0"/>
        <v>31.941290000000002</v>
      </c>
      <c r="W9" s="86"/>
    </row>
    <row r="10" spans="1:23" ht="12.75">
      <c r="A10" s="2">
        <v>8</v>
      </c>
      <c r="B10" s="81" t="s">
        <v>219</v>
      </c>
      <c r="C10" s="67">
        <f>'2014年2月'!U10</f>
        <v>177.65599000000006</v>
      </c>
      <c r="D10" s="72">
        <v>1</v>
      </c>
      <c r="E10" s="69"/>
      <c r="F10" s="70">
        <f t="shared" si="1"/>
        <v>-12.0833</v>
      </c>
      <c r="G10" s="72">
        <v>1</v>
      </c>
      <c r="H10" s="69"/>
      <c r="I10" s="70">
        <f t="shared" si="2"/>
        <v>-13.4091</v>
      </c>
      <c r="J10" s="72">
        <v>1</v>
      </c>
      <c r="K10" s="69"/>
      <c r="L10" s="70">
        <f t="shared" si="3"/>
        <v>-11.6667</v>
      </c>
      <c r="M10" s="72">
        <v>1</v>
      </c>
      <c r="N10" s="69"/>
      <c r="O10" s="70">
        <f t="shared" si="4"/>
        <v>-15.7895</v>
      </c>
      <c r="P10" s="91">
        <v>1</v>
      </c>
      <c r="Q10" s="100"/>
      <c r="R10" s="70">
        <f t="shared" si="5"/>
        <v>-14.2857</v>
      </c>
      <c r="S10" s="72">
        <v>1</v>
      </c>
      <c r="T10" s="71">
        <f t="shared" si="6"/>
        <v>-4.1429</v>
      </c>
      <c r="U10" s="76">
        <f t="shared" si="0"/>
        <v>106.27879000000006</v>
      </c>
      <c r="W10" s="86"/>
    </row>
    <row r="11" spans="1:23" ht="12.75">
      <c r="A11" s="2">
        <v>9</v>
      </c>
      <c r="B11" s="109" t="s">
        <v>220</v>
      </c>
      <c r="C11" s="67">
        <f>'2014年2月'!U11</f>
        <v>-35.49090999999994</v>
      </c>
      <c r="D11" s="68">
        <v>1</v>
      </c>
      <c r="E11" s="69">
        <v>200</v>
      </c>
      <c r="F11" s="70">
        <f t="shared" si="1"/>
        <v>-12.0833</v>
      </c>
      <c r="G11" s="68">
        <v>1</v>
      </c>
      <c r="H11" s="69"/>
      <c r="I11" s="70">
        <f t="shared" si="2"/>
        <v>-13.4091</v>
      </c>
      <c r="J11" s="68">
        <v>1</v>
      </c>
      <c r="K11" s="69"/>
      <c r="L11" s="70">
        <f t="shared" si="3"/>
        <v>-11.6667</v>
      </c>
      <c r="M11" s="68">
        <v>1</v>
      </c>
      <c r="N11" s="69"/>
      <c r="O11" s="70">
        <f t="shared" si="4"/>
        <v>-15.7895</v>
      </c>
      <c r="P11" s="90">
        <v>1</v>
      </c>
      <c r="Q11" s="99"/>
      <c r="R11" s="70">
        <f t="shared" si="5"/>
        <v>-14.2857</v>
      </c>
      <c r="S11" s="68">
        <v>1</v>
      </c>
      <c r="T11" s="71">
        <f t="shared" si="6"/>
        <v>-4.1429</v>
      </c>
      <c r="U11" s="76">
        <f t="shared" si="0"/>
        <v>93.13189000000006</v>
      </c>
      <c r="W11" s="86"/>
    </row>
    <row r="12" spans="1:23" ht="12.75">
      <c r="A12" s="2">
        <v>10</v>
      </c>
      <c r="B12" s="79" t="s">
        <v>221</v>
      </c>
      <c r="C12" s="61">
        <f>'2014年2月'!U12</f>
        <v>27.453789999999994</v>
      </c>
      <c r="D12" s="62">
        <v>1</v>
      </c>
      <c r="E12" s="63"/>
      <c r="F12" s="64">
        <f t="shared" si="1"/>
        <v>-12.0833</v>
      </c>
      <c r="G12" s="62"/>
      <c r="H12" s="63"/>
      <c r="I12" s="64">
        <f t="shared" si="2"/>
        <v>0</v>
      </c>
      <c r="J12" s="62">
        <v>1</v>
      </c>
      <c r="K12" s="63">
        <v>100</v>
      </c>
      <c r="L12" s="64">
        <f t="shared" si="3"/>
        <v>-11.6667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>
        <v>1</v>
      </c>
      <c r="T12" s="66">
        <f t="shared" si="6"/>
        <v>-4.1429</v>
      </c>
      <c r="U12" s="76">
        <f t="shared" si="0"/>
        <v>99.56088999999999</v>
      </c>
      <c r="W12" s="86"/>
    </row>
    <row r="13" spans="1:23" ht="12.75">
      <c r="A13" s="2">
        <v>11</v>
      </c>
      <c r="B13" s="79" t="s">
        <v>222</v>
      </c>
      <c r="C13" s="61">
        <f>'2014年2月'!U13</f>
        <v>124.90519</v>
      </c>
      <c r="D13" s="62">
        <v>1</v>
      </c>
      <c r="E13" s="63"/>
      <c r="F13" s="64">
        <f t="shared" si="1"/>
        <v>-12.0833</v>
      </c>
      <c r="G13" s="62">
        <v>1</v>
      </c>
      <c r="H13" s="63"/>
      <c r="I13" s="64">
        <f t="shared" si="2"/>
        <v>-13.4091</v>
      </c>
      <c r="J13" s="62"/>
      <c r="K13" s="63"/>
      <c r="L13" s="64">
        <f t="shared" si="3"/>
        <v>0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-14.2857</v>
      </c>
      <c r="S13" s="65">
        <v>1</v>
      </c>
      <c r="T13" s="66">
        <f t="shared" si="6"/>
        <v>-4.1429</v>
      </c>
      <c r="U13" s="76">
        <f t="shared" si="0"/>
        <v>80.98419000000001</v>
      </c>
      <c r="W13" s="86"/>
    </row>
    <row r="14" spans="1:23" ht="12.75">
      <c r="A14" s="2">
        <v>12</v>
      </c>
      <c r="B14" s="79" t="s">
        <v>223</v>
      </c>
      <c r="C14" s="61">
        <f>'2014年2月'!U14</f>
        <v>74.43209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>
        <v>1</v>
      </c>
      <c r="K14" s="63"/>
      <c r="L14" s="64">
        <f>-11.6667*J14-10</f>
        <v>-21.6667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>
        <v>1</v>
      </c>
      <c r="T14" s="66">
        <f t="shared" si="6"/>
        <v>-4.1429</v>
      </c>
      <c r="U14" s="76">
        <f t="shared" si="0"/>
        <v>48.622490000000006</v>
      </c>
      <c r="W14" s="86"/>
    </row>
    <row r="15" spans="1:23" ht="12.75">
      <c r="A15" s="2">
        <v>13</v>
      </c>
      <c r="B15" s="80" t="s">
        <v>224</v>
      </c>
      <c r="C15" s="43">
        <f>'2014年2月'!U15</f>
        <v>103.03829000000005</v>
      </c>
      <c r="D15" s="44">
        <v>1</v>
      </c>
      <c r="E15" s="45"/>
      <c r="F15" s="46">
        <f t="shared" si="1"/>
        <v>-12.0833</v>
      </c>
      <c r="G15" s="44">
        <v>1</v>
      </c>
      <c r="H15" s="45"/>
      <c r="I15" s="46">
        <f t="shared" si="2"/>
        <v>-13.4091</v>
      </c>
      <c r="J15" s="44">
        <v>1</v>
      </c>
      <c r="K15" s="45"/>
      <c r="L15" s="46">
        <f t="shared" si="3"/>
        <v>-11.6667</v>
      </c>
      <c r="M15" s="44">
        <v>1</v>
      </c>
      <c r="N15" s="45"/>
      <c r="O15" s="46">
        <f t="shared" si="4"/>
        <v>-15.7895</v>
      </c>
      <c r="P15" s="93">
        <v>1</v>
      </c>
      <c r="Q15" s="102">
        <v>100</v>
      </c>
      <c r="R15" s="46">
        <f t="shared" si="5"/>
        <v>-14.2857</v>
      </c>
      <c r="S15" s="48">
        <v>1</v>
      </c>
      <c r="T15" s="47">
        <f t="shared" si="6"/>
        <v>-4.1429</v>
      </c>
      <c r="U15" s="76">
        <f t="shared" si="0"/>
        <v>131.66109000000006</v>
      </c>
      <c r="W15" s="86"/>
    </row>
    <row r="16" spans="1:23" ht="12.75">
      <c r="A16" s="2">
        <v>14</v>
      </c>
      <c r="B16" s="80" t="s">
        <v>225</v>
      </c>
      <c r="C16" s="43">
        <f>'2014年2月'!U16</f>
        <v>123.68529000000001</v>
      </c>
      <c r="D16" s="44">
        <v>1</v>
      </c>
      <c r="E16" s="45"/>
      <c r="F16" s="46">
        <f t="shared" si="1"/>
        <v>-12.0833</v>
      </c>
      <c r="G16" s="44">
        <v>1</v>
      </c>
      <c r="H16" s="45"/>
      <c r="I16" s="46">
        <f t="shared" si="2"/>
        <v>-13.4091</v>
      </c>
      <c r="J16" s="44">
        <v>1</v>
      </c>
      <c r="K16" s="45"/>
      <c r="L16" s="46">
        <f t="shared" si="3"/>
        <v>-11.6667</v>
      </c>
      <c r="M16" s="44">
        <v>1</v>
      </c>
      <c r="N16" s="45"/>
      <c r="O16" s="46">
        <f t="shared" si="4"/>
        <v>-15.7895</v>
      </c>
      <c r="P16" s="93">
        <v>1</v>
      </c>
      <c r="Q16" s="102"/>
      <c r="R16" s="46">
        <f t="shared" si="5"/>
        <v>-14.2857</v>
      </c>
      <c r="S16" s="44">
        <v>1</v>
      </c>
      <c r="T16" s="47">
        <f t="shared" si="6"/>
        <v>-4.1429</v>
      </c>
      <c r="U16" s="76">
        <f t="shared" si="0"/>
        <v>52.308090000000014</v>
      </c>
      <c r="W16" s="86"/>
    </row>
    <row r="17" spans="1:23" ht="12.75">
      <c r="A17" s="2">
        <v>15</v>
      </c>
      <c r="B17" s="80" t="s">
        <v>226</v>
      </c>
      <c r="C17" s="43">
        <f>'2014年2月'!U17</f>
        <v>84.03569000000002</v>
      </c>
      <c r="D17" s="44">
        <v>1</v>
      </c>
      <c r="E17" s="45"/>
      <c r="F17" s="46">
        <f t="shared" si="1"/>
        <v>-12.0833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>
        <v>1</v>
      </c>
      <c r="T17" s="47">
        <f t="shared" si="6"/>
        <v>-4.1429</v>
      </c>
      <c r="U17" s="76">
        <f t="shared" si="0"/>
        <v>67.80949000000003</v>
      </c>
      <c r="W17" s="86"/>
    </row>
    <row r="18" spans="1:23" ht="12.75">
      <c r="A18" s="2">
        <v>16</v>
      </c>
      <c r="B18" s="77" t="s">
        <v>227</v>
      </c>
      <c r="C18" s="49">
        <f>'2014年2月'!U18</f>
        <v>90.94629</v>
      </c>
      <c r="D18" s="50">
        <v>1</v>
      </c>
      <c r="E18" s="51"/>
      <c r="F18" s="52">
        <f t="shared" si="1"/>
        <v>-12.0833</v>
      </c>
      <c r="G18" s="50">
        <v>1</v>
      </c>
      <c r="H18" s="51"/>
      <c r="I18" s="52">
        <f t="shared" si="2"/>
        <v>-13.4091</v>
      </c>
      <c r="J18" s="50"/>
      <c r="K18" s="51"/>
      <c r="L18" s="52">
        <f t="shared" si="3"/>
        <v>0</v>
      </c>
      <c r="M18" s="50">
        <v>1</v>
      </c>
      <c r="N18" s="51"/>
      <c r="O18" s="52">
        <f t="shared" si="4"/>
        <v>-15.7895</v>
      </c>
      <c r="P18" s="87"/>
      <c r="Q18" s="96"/>
      <c r="R18" s="52">
        <f t="shared" si="5"/>
        <v>0</v>
      </c>
      <c r="S18" s="50">
        <v>1</v>
      </c>
      <c r="T18" s="53">
        <f t="shared" si="6"/>
        <v>-4.1429</v>
      </c>
      <c r="U18" s="76">
        <f t="shared" si="0"/>
        <v>45.521490000000014</v>
      </c>
      <c r="W18" s="86"/>
    </row>
    <row r="19" spans="1:23" ht="12.75">
      <c r="A19" s="2">
        <v>17</v>
      </c>
      <c r="B19" s="77" t="s">
        <v>228</v>
      </c>
      <c r="C19" s="49">
        <f>'2014年2月'!U19</f>
        <v>16.843390000000053</v>
      </c>
      <c r="D19" s="50">
        <v>1</v>
      </c>
      <c r="E19" s="51">
        <v>100</v>
      </c>
      <c r="F19" s="52">
        <f t="shared" si="1"/>
        <v>-12.0833</v>
      </c>
      <c r="G19" s="50">
        <v>1</v>
      </c>
      <c r="H19" s="51"/>
      <c r="I19" s="52">
        <f t="shared" si="2"/>
        <v>-13.4091</v>
      </c>
      <c r="J19" s="50"/>
      <c r="K19" s="51"/>
      <c r="L19" s="52">
        <f t="shared" si="3"/>
        <v>0</v>
      </c>
      <c r="M19" s="50">
        <v>1</v>
      </c>
      <c r="N19" s="51"/>
      <c r="O19" s="52">
        <f t="shared" si="4"/>
        <v>-15.7895</v>
      </c>
      <c r="P19" s="87">
        <v>1</v>
      </c>
      <c r="Q19" s="96"/>
      <c r="R19" s="52">
        <f t="shared" si="5"/>
        <v>-14.2857</v>
      </c>
      <c r="S19" s="54">
        <v>1</v>
      </c>
      <c r="T19" s="53">
        <f t="shared" si="6"/>
        <v>-4.1429</v>
      </c>
      <c r="U19" s="76">
        <f t="shared" si="0"/>
        <v>57.13289000000007</v>
      </c>
      <c r="W19" s="86"/>
    </row>
    <row r="20" spans="1:23" ht="12.75">
      <c r="A20" s="2">
        <v>18</v>
      </c>
      <c r="B20" s="77" t="s">
        <v>229</v>
      </c>
      <c r="C20" s="49">
        <f>'2014年2月'!U20</f>
        <v>20.907890000000002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>
        <v>1</v>
      </c>
      <c r="T20" s="53">
        <f t="shared" si="6"/>
        <v>-4.1429</v>
      </c>
      <c r="U20" s="76">
        <f t="shared" si="0"/>
        <v>16.76499</v>
      </c>
      <c r="W20" s="86"/>
    </row>
    <row r="21" spans="1:23" ht="12.75">
      <c r="A21" s="2">
        <v>19</v>
      </c>
      <c r="B21" s="78" t="s">
        <v>230</v>
      </c>
      <c r="C21" s="55">
        <f>'2014年2月'!U21</f>
        <v>-2.451609999999981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>
        <v>1</v>
      </c>
      <c r="T21" s="59">
        <f t="shared" si="6"/>
        <v>-4.1429</v>
      </c>
      <c r="U21" s="76">
        <f t="shared" si="0"/>
        <v>-6.594509999999981</v>
      </c>
      <c r="W21" s="86"/>
    </row>
    <row r="22" spans="1:23" ht="12.75">
      <c r="A22" s="2">
        <v>20</v>
      </c>
      <c r="B22" s="78" t="s">
        <v>231</v>
      </c>
      <c r="C22" s="55">
        <f>'2014年2月'!U22</f>
        <v>-1.340610000000023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>
        <v>1</v>
      </c>
      <c r="K22" s="57"/>
      <c r="L22" s="58">
        <f t="shared" si="3"/>
        <v>-11.6667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>
        <v>1</v>
      </c>
      <c r="T22" s="59">
        <f t="shared" si="6"/>
        <v>-4.1429</v>
      </c>
      <c r="U22" s="76">
        <f t="shared" si="0"/>
        <v>-17.150210000000023</v>
      </c>
      <c r="W22" s="86"/>
    </row>
    <row r="23" spans="1:23" ht="12.75">
      <c r="A23" s="2">
        <v>21</v>
      </c>
      <c r="B23" s="78" t="s">
        <v>232</v>
      </c>
      <c r="C23" s="55">
        <f>'2014年2月'!U23</f>
        <v>302.1630899999999</v>
      </c>
      <c r="D23" s="56">
        <v>1</v>
      </c>
      <c r="E23" s="57"/>
      <c r="F23" s="58">
        <f t="shared" si="1"/>
        <v>-12.0833</v>
      </c>
      <c r="G23" s="56">
        <v>1</v>
      </c>
      <c r="H23" s="57"/>
      <c r="I23" s="58">
        <f t="shared" si="2"/>
        <v>-13.4091</v>
      </c>
      <c r="J23" s="56">
        <v>1</v>
      </c>
      <c r="K23" s="57"/>
      <c r="L23" s="58">
        <f t="shared" si="3"/>
        <v>-11.6667</v>
      </c>
      <c r="M23" s="56">
        <v>1</v>
      </c>
      <c r="N23" s="57"/>
      <c r="O23" s="58">
        <f t="shared" si="4"/>
        <v>-15.7895</v>
      </c>
      <c r="P23" s="89">
        <v>1</v>
      </c>
      <c r="Q23" s="98"/>
      <c r="R23" s="58">
        <f t="shared" si="5"/>
        <v>-14.2857</v>
      </c>
      <c r="S23" s="60">
        <v>1</v>
      </c>
      <c r="T23" s="59">
        <f t="shared" si="6"/>
        <v>-4.1429</v>
      </c>
      <c r="U23" s="76">
        <f t="shared" si="0"/>
        <v>230.78588999999988</v>
      </c>
      <c r="W23" s="86"/>
    </row>
    <row r="24" spans="1:23" ht="12.75">
      <c r="A24" s="2">
        <v>22</v>
      </c>
      <c r="B24" s="81" t="s">
        <v>233</v>
      </c>
      <c r="C24" s="67">
        <f>'2014年2月'!U24</f>
        <v>-11.831809999999933</v>
      </c>
      <c r="D24" s="68"/>
      <c r="E24" s="69"/>
      <c r="F24" s="70">
        <f t="shared" si="1"/>
        <v>0</v>
      </c>
      <c r="G24" s="68">
        <v>1</v>
      </c>
      <c r="H24" s="69">
        <v>100</v>
      </c>
      <c r="I24" s="70">
        <f t="shared" si="2"/>
        <v>-13.4091</v>
      </c>
      <c r="J24" s="68">
        <v>1</v>
      </c>
      <c r="K24" s="69"/>
      <c r="L24" s="70">
        <f t="shared" si="3"/>
        <v>-11.6667</v>
      </c>
      <c r="M24" s="68">
        <v>1</v>
      </c>
      <c r="N24" s="69"/>
      <c r="O24" s="70">
        <f t="shared" si="4"/>
        <v>-15.7895</v>
      </c>
      <c r="P24" s="90"/>
      <c r="Q24" s="99"/>
      <c r="R24" s="70">
        <f t="shared" si="5"/>
        <v>0</v>
      </c>
      <c r="S24" s="68">
        <v>1</v>
      </c>
      <c r="T24" s="71">
        <f t="shared" si="6"/>
        <v>-4.1429</v>
      </c>
      <c r="U24" s="76">
        <f t="shared" si="0"/>
        <v>43.15999000000008</v>
      </c>
      <c r="W24" s="86"/>
    </row>
    <row r="25" spans="1:23" ht="12.75">
      <c r="A25" s="2">
        <v>23</v>
      </c>
      <c r="B25" s="81" t="s">
        <v>234</v>
      </c>
      <c r="C25" s="67">
        <f>'2014年2月'!U25</f>
        <v>150.21019</v>
      </c>
      <c r="D25" s="68">
        <v>1</v>
      </c>
      <c r="E25" s="69"/>
      <c r="F25" s="70">
        <f>-12.0833*D25-10</f>
        <v>-22.0833</v>
      </c>
      <c r="G25" s="68">
        <v>1</v>
      </c>
      <c r="H25" s="69"/>
      <c r="I25" s="70">
        <f t="shared" si="2"/>
        <v>-13.4091</v>
      </c>
      <c r="J25" s="68">
        <v>1</v>
      </c>
      <c r="K25" s="69"/>
      <c r="L25" s="70">
        <f t="shared" si="3"/>
        <v>-11.6667</v>
      </c>
      <c r="M25" s="68">
        <v>1</v>
      </c>
      <c r="N25" s="69"/>
      <c r="O25" s="70">
        <f t="shared" si="4"/>
        <v>-15.7895</v>
      </c>
      <c r="P25" s="90">
        <v>1</v>
      </c>
      <c r="Q25" s="99"/>
      <c r="R25" s="70">
        <f t="shared" si="5"/>
        <v>-14.2857</v>
      </c>
      <c r="S25" s="68">
        <v>1</v>
      </c>
      <c r="T25" s="71">
        <f t="shared" si="6"/>
        <v>-4.1429</v>
      </c>
      <c r="U25" s="76">
        <f t="shared" si="0"/>
        <v>68.83299</v>
      </c>
      <c r="W25" s="86"/>
    </row>
    <row r="26" spans="1:23" ht="12.75">
      <c r="A26" s="2">
        <v>24</v>
      </c>
      <c r="B26" s="81" t="s">
        <v>235</v>
      </c>
      <c r="C26" s="67">
        <f>'2014年2月'!U26</f>
        <v>31.63639000000006</v>
      </c>
      <c r="D26" s="68">
        <v>1</v>
      </c>
      <c r="E26" s="69"/>
      <c r="F26" s="70">
        <f t="shared" si="1"/>
        <v>-12.0833</v>
      </c>
      <c r="G26" s="68">
        <v>1</v>
      </c>
      <c r="H26" s="69"/>
      <c r="I26" s="70">
        <f t="shared" si="2"/>
        <v>-13.4091</v>
      </c>
      <c r="J26" s="68">
        <v>1</v>
      </c>
      <c r="K26" s="69"/>
      <c r="L26" s="70">
        <f t="shared" si="3"/>
        <v>-11.6667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>
        <v>1</v>
      </c>
      <c r="T26" s="71">
        <f t="shared" si="6"/>
        <v>-4.1429</v>
      </c>
      <c r="U26" s="76">
        <f t="shared" si="0"/>
        <v>-9.66560999999994</v>
      </c>
      <c r="W26" s="86"/>
    </row>
    <row r="27" spans="1:23" ht="12.75">
      <c r="A27" s="2">
        <v>25</v>
      </c>
      <c r="B27" s="79" t="s">
        <v>236</v>
      </c>
      <c r="C27" s="61">
        <f>'2014年2月'!U27</f>
        <v>15.368189999999995</v>
      </c>
      <c r="D27" s="62">
        <v>1</v>
      </c>
      <c r="E27" s="73"/>
      <c r="F27" s="64">
        <f t="shared" si="1"/>
        <v>-12.0833</v>
      </c>
      <c r="G27" s="62">
        <v>1</v>
      </c>
      <c r="H27" s="73"/>
      <c r="I27" s="64">
        <f t="shared" si="2"/>
        <v>-13.4091</v>
      </c>
      <c r="J27" s="62">
        <v>1</v>
      </c>
      <c r="K27" s="73"/>
      <c r="L27" s="64">
        <f t="shared" si="3"/>
        <v>-11.6667</v>
      </c>
      <c r="M27" s="62"/>
      <c r="N27" s="73"/>
      <c r="O27" s="64">
        <f t="shared" si="4"/>
        <v>0</v>
      </c>
      <c r="P27" s="92">
        <v>1</v>
      </c>
      <c r="Q27" s="101">
        <v>100</v>
      </c>
      <c r="R27" s="64">
        <f t="shared" si="5"/>
        <v>-14.2857</v>
      </c>
      <c r="S27" s="62">
        <v>1</v>
      </c>
      <c r="T27" s="66">
        <f t="shared" si="6"/>
        <v>-4.1429</v>
      </c>
      <c r="U27" s="76">
        <f t="shared" si="0"/>
        <v>59.78048999999999</v>
      </c>
      <c r="W27" s="86"/>
    </row>
    <row r="28" spans="1:23" ht="12.75">
      <c r="A28" s="2">
        <v>26</v>
      </c>
      <c r="B28" s="79" t="s">
        <v>237</v>
      </c>
      <c r="C28" s="61">
        <f>'2014年2月'!U28</f>
        <v>54.27989000000008</v>
      </c>
      <c r="D28" s="65"/>
      <c r="E28" s="73"/>
      <c r="F28" s="64">
        <f t="shared" si="1"/>
        <v>0</v>
      </c>
      <c r="G28" s="65"/>
      <c r="H28" s="73"/>
      <c r="I28" s="64">
        <f t="shared" si="2"/>
        <v>0</v>
      </c>
      <c r="J28" s="65"/>
      <c r="K28" s="73"/>
      <c r="L28" s="64">
        <f t="shared" si="3"/>
        <v>0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>
        <v>1</v>
      </c>
      <c r="T28" s="66">
        <f t="shared" si="6"/>
        <v>-4.1429</v>
      </c>
      <c r="U28" s="76">
        <f t="shared" si="0"/>
        <v>50.13699000000008</v>
      </c>
      <c r="W28" s="86"/>
    </row>
    <row r="29" spans="1:23" ht="12.75">
      <c r="A29" s="2">
        <v>27</v>
      </c>
      <c r="B29" s="79" t="s">
        <v>238</v>
      </c>
      <c r="C29" s="61">
        <f>'2014年2月'!U29</f>
        <v>96.42988999999997</v>
      </c>
      <c r="D29" s="62">
        <v>1</v>
      </c>
      <c r="E29" s="63"/>
      <c r="F29" s="64">
        <f t="shared" si="1"/>
        <v>-12.0833</v>
      </c>
      <c r="G29" s="62">
        <v>1</v>
      </c>
      <c r="H29" s="63"/>
      <c r="I29" s="64">
        <f t="shared" si="2"/>
        <v>-13.4091</v>
      </c>
      <c r="J29" s="62">
        <v>1</v>
      </c>
      <c r="K29" s="63"/>
      <c r="L29" s="64">
        <f t="shared" si="3"/>
        <v>-11.6667</v>
      </c>
      <c r="M29" s="62">
        <v>1</v>
      </c>
      <c r="N29" s="63"/>
      <c r="O29" s="64">
        <f t="shared" si="4"/>
        <v>-15.7895</v>
      </c>
      <c r="P29" s="92">
        <v>1</v>
      </c>
      <c r="Q29" s="101"/>
      <c r="R29" s="64">
        <f t="shared" si="5"/>
        <v>-14.2857</v>
      </c>
      <c r="S29" s="62">
        <v>1</v>
      </c>
      <c r="T29" s="66">
        <f t="shared" si="6"/>
        <v>-4.1429</v>
      </c>
      <c r="U29" s="76">
        <f t="shared" si="0"/>
        <v>25.05268999999999</v>
      </c>
      <c r="W29" s="86"/>
    </row>
    <row r="30" spans="1:23" ht="12.75">
      <c r="A30" s="2">
        <v>28</v>
      </c>
      <c r="B30" s="80" t="s">
        <v>239</v>
      </c>
      <c r="C30" s="43">
        <f>'2014年2月'!U30</f>
        <v>151.42260000000002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>
        <v>1</v>
      </c>
      <c r="K30" s="74"/>
      <c r="L30" s="46">
        <f t="shared" si="3"/>
        <v>-11.6667</v>
      </c>
      <c r="M30" s="48">
        <v>1</v>
      </c>
      <c r="N30" s="74"/>
      <c r="O30" s="46">
        <f t="shared" si="4"/>
        <v>-15.7895</v>
      </c>
      <c r="P30" s="95"/>
      <c r="Q30" s="104"/>
      <c r="R30" s="46">
        <f t="shared" si="5"/>
        <v>0</v>
      </c>
      <c r="S30" s="48">
        <v>1</v>
      </c>
      <c r="T30" s="47">
        <f t="shared" si="6"/>
        <v>-4.1429</v>
      </c>
      <c r="U30" s="76">
        <f t="shared" si="0"/>
        <v>119.82350000000002</v>
      </c>
      <c r="V30" s="28"/>
      <c r="W30" s="86"/>
    </row>
    <row r="31" spans="1:23" ht="12.75">
      <c r="A31" s="2">
        <v>29</v>
      </c>
      <c r="B31" s="80" t="s">
        <v>240</v>
      </c>
      <c r="C31" s="43">
        <f>'2014年2月'!U31</f>
        <v>-10.306609999999996</v>
      </c>
      <c r="D31" s="44">
        <v>1</v>
      </c>
      <c r="E31" s="74">
        <v>100</v>
      </c>
      <c r="F31" s="46">
        <f t="shared" si="1"/>
        <v>-12.0833</v>
      </c>
      <c r="G31" s="44"/>
      <c r="H31" s="74"/>
      <c r="I31" s="46">
        <f t="shared" si="2"/>
        <v>0</v>
      </c>
      <c r="J31" s="44">
        <v>1</v>
      </c>
      <c r="K31" s="74"/>
      <c r="L31" s="46">
        <f t="shared" si="3"/>
        <v>-11.6667</v>
      </c>
      <c r="M31" s="44">
        <v>1</v>
      </c>
      <c r="N31" s="74"/>
      <c r="O31" s="46">
        <f t="shared" si="4"/>
        <v>-15.7895</v>
      </c>
      <c r="P31" s="93">
        <v>1</v>
      </c>
      <c r="Q31" s="102"/>
      <c r="R31" s="46">
        <f t="shared" si="5"/>
        <v>-14.2857</v>
      </c>
      <c r="S31" s="44">
        <v>1</v>
      </c>
      <c r="T31" s="47">
        <f t="shared" si="6"/>
        <v>-4.1429</v>
      </c>
      <c r="U31" s="76">
        <f t="shared" si="0"/>
        <v>31.725290000000008</v>
      </c>
      <c r="W31" s="86"/>
    </row>
    <row r="32" spans="1:23" ht="12.75">
      <c r="A32" s="2">
        <v>30</v>
      </c>
      <c r="B32" s="80" t="s">
        <v>241</v>
      </c>
      <c r="C32" s="43">
        <f>'2014年2月'!U32</f>
        <v>12.917590000000015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>
        <v>1</v>
      </c>
      <c r="T32" s="47">
        <f t="shared" si="6"/>
        <v>-4.1429</v>
      </c>
      <c r="U32" s="76">
        <f t="shared" si="0"/>
        <v>8.774690000000014</v>
      </c>
      <c r="W32" s="86"/>
    </row>
    <row r="33" spans="1:23" ht="12.75">
      <c r="A33" s="2">
        <v>31</v>
      </c>
      <c r="B33" s="77" t="s">
        <v>242</v>
      </c>
      <c r="C33" s="49">
        <f>'2014年2月'!U33</f>
        <v>33.76979</v>
      </c>
      <c r="D33" s="50">
        <v>1</v>
      </c>
      <c r="E33" s="51"/>
      <c r="F33" s="52">
        <f t="shared" si="1"/>
        <v>-12.0833</v>
      </c>
      <c r="G33" s="50"/>
      <c r="H33" s="51"/>
      <c r="I33" s="52">
        <f t="shared" si="2"/>
        <v>0</v>
      </c>
      <c r="J33" s="50">
        <v>1</v>
      </c>
      <c r="K33" s="51"/>
      <c r="L33" s="52">
        <f t="shared" si="3"/>
        <v>-11.6667</v>
      </c>
      <c r="M33" s="50">
        <v>1</v>
      </c>
      <c r="N33" s="51"/>
      <c r="O33" s="52">
        <f t="shared" si="4"/>
        <v>-15.7895</v>
      </c>
      <c r="P33" s="87"/>
      <c r="Q33" s="96"/>
      <c r="R33" s="52">
        <f t="shared" si="5"/>
        <v>0</v>
      </c>
      <c r="S33" s="50">
        <v>1</v>
      </c>
      <c r="T33" s="53">
        <f t="shared" si="6"/>
        <v>-4.1429</v>
      </c>
      <c r="U33" s="76">
        <f t="shared" si="0"/>
        <v>-9.91261</v>
      </c>
      <c r="W33" s="86"/>
    </row>
    <row r="34" spans="1:23" ht="12.75">
      <c r="A34" s="2">
        <v>32</v>
      </c>
      <c r="B34" s="77" t="s">
        <v>243</v>
      </c>
      <c r="C34" s="49">
        <f>'2014年2月'!U34</f>
        <v>79.58409000000002</v>
      </c>
      <c r="D34" s="50">
        <v>1</v>
      </c>
      <c r="E34" s="51"/>
      <c r="F34" s="52">
        <f t="shared" si="1"/>
        <v>-12.0833</v>
      </c>
      <c r="G34" s="85">
        <v>1</v>
      </c>
      <c r="H34" s="51"/>
      <c r="I34" s="52">
        <f t="shared" si="2"/>
        <v>-13.4091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>
        <v>1</v>
      </c>
      <c r="Q34" s="96"/>
      <c r="R34" s="52">
        <f t="shared" si="5"/>
        <v>-14.2857</v>
      </c>
      <c r="S34" s="54">
        <v>1</v>
      </c>
      <c r="T34" s="53">
        <f t="shared" si="6"/>
        <v>-4.1429</v>
      </c>
      <c r="U34" s="76">
        <f t="shared" si="0"/>
        <v>35.663090000000025</v>
      </c>
      <c r="W34" s="86"/>
    </row>
    <row r="35" spans="1:23" ht="12.75">
      <c r="A35" s="2">
        <v>33</v>
      </c>
      <c r="B35" s="77" t="s">
        <v>244</v>
      </c>
      <c r="C35" s="49">
        <f>'2014年2月'!U35</f>
        <v>107.18589</v>
      </c>
      <c r="D35" s="50">
        <v>1</v>
      </c>
      <c r="E35" s="51"/>
      <c r="F35" s="52">
        <f t="shared" si="1"/>
        <v>-12.0833</v>
      </c>
      <c r="G35" s="50"/>
      <c r="H35" s="51"/>
      <c r="I35" s="52">
        <f t="shared" si="2"/>
        <v>0</v>
      </c>
      <c r="J35" s="50">
        <v>1</v>
      </c>
      <c r="K35" s="51"/>
      <c r="L35" s="52">
        <f t="shared" si="3"/>
        <v>-11.6667</v>
      </c>
      <c r="M35" s="50">
        <v>1</v>
      </c>
      <c r="N35" s="51"/>
      <c r="O35" s="52">
        <f t="shared" si="4"/>
        <v>-15.7895</v>
      </c>
      <c r="P35" s="87">
        <v>1</v>
      </c>
      <c r="Q35" s="96"/>
      <c r="R35" s="52">
        <f t="shared" si="5"/>
        <v>-14.2857</v>
      </c>
      <c r="S35" s="50">
        <v>1</v>
      </c>
      <c r="T35" s="53">
        <f t="shared" si="6"/>
        <v>-4.1429</v>
      </c>
      <c r="U35" s="76">
        <f t="shared" si="0"/>
        <v>49.21779</v>
      </c>
      <c r="W35" s="86"/>
    </row>
    <row r="36" spans="1:23" ht="12.75">
      <c r="A36" s="2">
        <v>34</v>
      </c>
      <c r="B36" s="78" t="s">
        <v>245</v>
      </c>
      <c r="C36" s="55">
        <f>'2014年2月'!U36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>
        <f t="shared" si="6"/>
        <v>0</v>
      </c>
      <c r="U36" s="76">
        <f t="shared" si="0"/>
        <v>-0.01089999999999991</v>
      </c>
      <c r="W36" s="86"/>
    </row>
    <row r="37" spans="1:23" ht="12.75">
      <c r="A37" s="2">
        <v>35</v>
      </c>
      <c r="B37" s="78" t="s">
        <v>246</v>
      </c>
      <c r="C37" s="55">
        <f>'2014年2月'!U37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>
        <f t="shared" si="6"/>
        <v>0</v>
      </c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247</v>
      </c>
      <c r="C38" s="55">
        <f>'2014年2月'!U38</f>
        <v>32.02239</v>
      </c>
      <c r="D38" s="56"/>
      <c r="E38" s="57"/>
      <c r="F38" s="58">
        <f t="shared" si="1"/>
        <v>0</v>
      </c>
      <c r="G38" s="56">
        <v>1</v>
      </c>
      <c r="H38" s="57">
        <v>100</v>
      </c>
      <c r="I38" s="58">
        <f>-13.4091*G38-5</f>
        <v>-18.409100000000002</v>
      </c>
      <c r="J38" s="56">
        <v>1</v>
      </c>
      <c r="K38" s="57"/>
      <c r="L38" s="58">
        <f>-11.6667*J38-10</f>
        <v>-21.6667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>
        <v>1</v>
      </c>
      <c r="T38" s="59">
        <f t="shared" si="6"/>
        <v>-4.1429</v>
      </c>
      <c r="U38" s="76">
        <f t="shared" si="0"/>
        <v>87.80369000000002</v>
      </c>
      <c r="W38" s="86"/>
    </row>
    <row r="39" spans="1:23" ht="12.75">
      <c r="A39" s="2">
        <v>37</v>
      </c>
      <c r="B39" s="81" t="s">
        <v>248</v>
      </c>
      <c r="C39" s="67">
        <f>'2014年2月'!U39</f>
        <v>148.0931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-13.4091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>
        <v>1</v>
      </c>
      <c r="Q39" s="99"/>
      <c r="R39" s="70">
        <f t="shared" si="5"/>
        <v>-14.2857</v>
      </c>
      <c r="S39" s="68">
        <v>1</v>
      </c>
      <c r="T39" s="71">
        <f t="shared" si="6"/>
        <v>-4.1429</v>
      </c>
      <c r="U39" s="76">
        <f t="shared" si="0"/>
        <v>116.2554</v>
      </c>
      <c r="W39" s="86"/>
    </row>
    <row r="40" spans="1:23" ht="12.75">
      <c r="A40" s="2">
        <v>38</v>
      </c>
      <c r="B40" s="81"/>
      <c r="C40" s="67">
        <f>'2014年2月'!U40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>
        <f t="shared" si="6"/>
        <v>0</v>
      </c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'2014年2月'!U41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>
        <f t="shared" si="6"/>
        <v>0</v>
      </c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24</v>
      </c>
      <c r="F43" s="1">
        <f>E54/D43</f>
        <v>12.083333333333334</v>
      </c>
      <c r="G43" s="1">
        <f>SUM(G3:G41)</f>
        <v>22</v>
      </c>
      <c r="I43" s="1">
        <f>H54/G43</f>
        <v>13.409090909090908</v>
      </c>
      <c r="J43" s="1">
        <f>SUM(J3:J41)</f>
        <v>24</v>
      </c>
      <c r="L43" s="1">
        <f>K54/J43</f>
        <v>11.666666666666666</v>
      </c>
      <c r="M43" s="1">
        <f>SUM(M3:M41)</f>
        <v>19</v>
      </c>
      <c r="O43" s="1">
        <f>N54/M43</f>
        <v>15.789473684210526</v>
      </c>
      <c r="P43" s="1">
        <f>SUM(P3:P41)</f>
        <v>21</v>
      </c>
      <c r="R43" s="1">
        <f>Q54/P43</f>
        <v>14.285714285714286</v>
      </c>
      <c r="S43" s="1">
        <f>SUM(S3:S42)</f>
        <v>35</v>
      </c>
      <c r="T43" s="27">
        <f>SUM(T3:T41)</f>
        <v>-145.00149999999994</v>
      </c>
      <c r="U43" s="23"/>
    </row>
    <row r="44" spans="4:18" ht="12.75">
      <c r="D44" s="33" t="s">
        <v>249</v>
      </c>
      <c r="F44" s="34" t="s">
        <v>250</v>
      </c>
      <c r="G44" s="33" t="s">
        <v>249</v>
      </c>
      <c r="I44" s="34" t="s">
        <v>250</v>
      </c>
      <c r="J44" s="33" t="s">
        <v>249</v>
      </c>
      <c r="L44" s="34" t="s">
        <v>250</v>
      </c>
      <c r="M44" s="33" t="s">
        <v>249</v>
      </c>
      <c r="O44" s="34" t="s">
        <v>250</v>
      </c>
      <c r="P44" s="33" t="s">
        <v>249</v>
      </c>
      <c r="R44" s="34" t="s">
        <v>250</v>
      </c>
    </row>
    <row r="45" spans="5:21" ht="12.75">
      <c r="E45" s="28" t="s">
        <v>251</v>
      </c>
      <c r="F45" s="1">
        <f>SUM(F3:F41)</f>
        <v>-299.9992000000001</v>
      </c>
      <c r="H45" s="28" t="s">
        <v>251</v>
      </c>
      <c r="I45" s="1">
        <f>SUM(I3:I41)</f>
        <v>-300.0002</v>
      </c>
      <c r="K45" s="28" t="s">
        <v>251</v>
      </c>
      <c r="L45" s="1">
        <f>SUM(L3:L41)</f>
        <v>-300.0007999999999</v>
      </c>
      <c r="N45" s="28" t="s">
        <v>251</v>
      </c>
      <c r="O45" s="1">
        <f>SUM(O3:O41)</f>
        <v>-300.0005</v>
      </c>
      <c r="Q45" s="28" t="s">
        <v>251</v>
      </c>
      <c r="R45" s="1">
        <f>SUM(R3:R41)</f>
        <v>-299.9997</v>
      </c>
      <c r="U45" s="19"/>
    </row>
    <row r="46" spans="2:21" ht="12.75">
      <c r="B46" s="29" t="s">
        <v>252</v>
      </c>
      <c r="C46" s="27">
        <f>SUM(C3:C41)</f>
        <v>2500.00257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2200.0006700000004</v>
      </c>
      <c r="W47" s="86">
        <f>U47</f>
        <v>2200.0006700000004</v>
      </c>
    </row>
    <row r="48" spans="2:20" ht="12.75" customHeight="1">
      <c r="B48" s="86"/>
      <c r="D48" s="117" t="s">
        <v>258</v>
      </c>
      <c r="E48" s="118"/>
      <c r="F48" s="119"/>
      <c r="G48" s="117" t="s">
        <v>259</v>
      </c>
      <c r="H48" s="118"/>
      <c r="I48" s="119"/>
      <c r="J48" s="117" t="s">
        <v>260</v>
      </c>
      <c r="K48" s="118"/>
      <c r="L48" s="119"/>
      <c r="M48" s="117" t="s">
        <v>261</v>
      </c>
      <c r="N48" s="118"/>
      <c r="O48" s="119"/>
      <c r="P48" s="117" t="s">
        <v>262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253</v>
      </c>
      <c r="E54" s="36">
        <f>E56-E72-E81</f>
        <v>290</v>
      </c>
      <c r="F54" s="37"/>
      <c r="G54" s="38" t="s">
        <v>253</v>
      </c>
      <c r="H54" s="36">
        <f>H56-H72-H81</f>
        <v>295</v>
      </c>
      <c r="I54" s="37"/>
      <c r="J54" s="38" t="s">
        <v>253</v>
      </c>
      <c r="K54" s="36">
        <f>K56-K72-K81</f>
        <v>280</v>
      </c>
      <c r="L54" s="37"/>
      <c r="M54" s="38" t="s">
        <v>253</v>
      </c>
      <c r="N54" s="36">
        <f>N56-N72-N81</f>
        <v>300</v>
      </c>
      <c r="O54" s="37"/>
      <c r="P54" s="38" t="s">
        <v>253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254</v>
      </c>
      <c r="E56" s="39">
        <v>300</v>
      </c>
      <c r="F56" s="40"/>
      <c r="G56" s="83" t="s">
        <v>254</v>
      </c>
      <c r="H56" s="39">
        <v>300</v>
      </c>
      <c r="I56" s="40"/>
      <c r="J56" s="83" t="s">
        <v>254</v>
      </c>
      <c r="K56" s="39">
        <v>300</v>
      </c>
      <c r="L56" s="40"/>
      <c r="M56" s="83" t="s">
        <v>254</v>
      </c>
      <c r="N56" s="39">
        <v>300</v>
      </c>
      <c r="O56" s="40"/>
      <c r="P56" s="83" t="s">
        <v>254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 t="s">
        <v>263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255</v>
      </c>
      <c r="E68" s="112"/>
      <c r="G68" s="111" t="s">
        <v>255</v>
      </c>
      <c r="H68" s="112"/>
      <c r="J68" s="111" t="s">
        <v>255</v>
      </c>
      <c r="K68" s="112"/>
      <c r="M68" s="111" t="s">
        <v>255</v>
      </c>
      <c r="N68" s="112"/>
      <c r="P68" s="111" t="s">
        <v>255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 t="s">
        <v>75</v>
      </c>
      <c r="E70" s="1">
        <v>10</v>
      </c>
      <c r="G70" s="28"/>
      <c r="J70" s="82" t="s">
        <v>66</v>
      </c>
      <c r="K70" s="1">
        <v>10</v>
      </c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>
        <f>SUM(E70:E71)</f>
        <v>10</v>
      </c>
      <c r="H72" s="28"/>
      <c r="K72" s="28">
        <f>SUM(K70:K71)</f>
        <v>10</v>
      </c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256</v>
      </c>
      <c r="E75" s="112"/>
      <c r="G75" s="111" t="s">
        <v>256</v>
      </c>
      <c r="H75" s="112"/>
      <c r="J75" s="111" t="s">
        <v>256</v>
      </c>
      <c r="K75" s="112"/>
      <c r="M75" s="111" t="s">
        <v>256</v>
      </c>
      <c r="N75" s="112"/>
      <c r="P75" s="111" t="s">
        <v>256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 t="s">
        <v>182</v>
      </c>
      <c r="G77" s="105" t="s">
        <v>264</v>
      </c>
      <c r="H77" s="1">
        <v>5</v>
      </c>
      <c r="J77" s="105" t="s">
        <v>264</v>
      </c>
      <c r="K77" s="1">
        <v>10</v>
      </c>
      <c r="M77" s="105"/>
      <c r="P77" s="105"/>
    </row>
    <row r="81" spans="8:11" ht="12.75">
      <c r="H81" s="1">
        <f>SUM(H77:H80)</f>
        <v>5</v>
      </c>
      <c r="K81" s="1">
        <f>SUM(K77:K80)</f>
        <v>10</v>
      </c>
    </row>
    <row r="83" spans="4:18" ht="12.75" customHeight="1">
      <c r="D83" s="115" t="s">
        <v>257</v>
      </c>
      <c r="E83" s="115"/>
      <c r="F83" s="115"/>
      <c r="G83" s="115" t="s">
        <v>257</v>
      </c>
      <c r="H83" s="115"/>
      <c r="I83" s="115"/>
      <c r="J83" s="115" t="s">
        <v>257</v>
      </c>
      <c r="K83" s="115"/>
      <c r="L83" s="115"/>
      <c r="M83" s="115" t="s">
        <v>257</v>
      </c>
      <c r="N83" s="115"/>
      <c r="O83" s="115"/>
      <c r="P83" s="115" t="s">
        <v>257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 t="s">
        <v>235</v>
      </c>
      <c r="E87" s="28"/>
      <c r="F87" s="42"/>
      <c r="G87" s="82"/>
      <c r="H87" s="28"/>
      <c r="I87" s="42"/>
      <c r="J87" s="82"/>
      <c r="K87" s="28"/>
      <c r="L87" s="42"/>
      <c r="M87" s="82" t="s">
        <v>63</v>
      </c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253</v>
      </c>
      <c r="E90" s="112"/>
      <c r="F90" s="112"/>
      <c r="G90" s="114" t="s">
        <v>253</v>
      </c>
      <c r="H90" s="112"/>
      <c r="I90" s="112"/>
      <c r="J90" s="114" t="s">
        <v>253</v>
      </c>
      <c r="K90" s="112"/>
      <c r="L90" s="112"/>
      <c r="M90" s="114" t="s">
        <v>253</v>
      </c>
      <c r="N90" s="112"/>
      <c r="O90" s="112"/>
      <c r="P90" s="114" t="s">
        <v>253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41735</v>
      </c>
      <c r="E1" s="126"/>
      <c r="F1" s="127"/>
      <c r="G1" s="16"/>
      <c r="H1" s="24">
        <v>41742</v>
      </c>
      <c r="I1" s="17"/>
      <c r="J1" s="30"/>
      <c r="K1" s="24">
        <v>41749</v>
      </c>
      <c r="L1" s="31"/>
      <c r="M1" s="16"/>
      <c r="N1" s="24">
        <v>41756</v>
      </c>
      <c r="O1" s="17"/>
      <c r="P1" s="16"/>
      <c r="Q1" s="24">
        <v>41762</v>
      </c>
      <c r="R1" s="17"/>
      <c r="S1" s="128"/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'2014年3月'!U3</f>
        <v>116.69299000000002</v>
      </c>
      <c r="D3" s="50">
        <v>1</v>
      </c>
      <c r="E3" s="51"/>
      <c r="F3" s="52">
        <f>-9.375*D3</f>
        <v>-9.375</v>
      </c>
      <c r="G3" s="50">
        <v>1</v>
      </c>
      <c r="H3" s="51"/>
      <c r="I3" s="52">
        <f aca="true" t="shared" si="0" ref="I3:I13">-13.0435*G3</f>
        <v>-13.0435</v>
      </c>
      <c r="J3" s="50">
        <v>1</v>
      </c>
      <c r="K3" s="51"/>
      <c r="L3" s="52">
        <f>-13.6364*J3</f>
        <v>-13.6364</v>
      </c>
      <c r="M3" s="50">
        <v>1</v>
      </c>
      <c r="N3" s="51"/>
      <c r="O3" s="52">
        <f>-14.2857*M3</f>
        <v>-14.2857</v>
      </c>
      <c r="P3" s="87"/>
      <c r="Q3" s="96"/>
      <c r="R3" s="52">
        <f>-18.75*P3</f>
        <v>0</v>
      </c>
      <c r="S3" s="50"/>
      <c r="T3" s="53"/>
      <c r="U3" s="76">
        <f aca="true" t="shared" si="1" ref="U3:U41">C3+E3+F3+H3+I3+K3+L3+N3+O3+T3+Q3+R3</f>
        <v>66.35239000000003</v>
      </c>
      <c r="W3" s="86"/>
    </row>
    <row r="4" spans="1:23" ht="12.75">
      <c r="A4" s="2">
        <v>2</v>
      </c>
      <c r="B4" s="75" t="s">
        <v>3</v>
      </c>
      <c r="C4" s="49">
        <f>'2014年3月'!U4</f>
        <v>-3.1717099999999636</v>
      </c>
      <c r="D4" s="50">
        <v>1</v>
      </c>
      <c r="E4" s="51"/>
      <c r="F4" s="52">
        <f aca="true" t="shared" si="2" ref="F4:F41">-9.375*D4</f>
        <v>-9.375</v>
      </c>
      <c r="G4" s="50">
        <v>2</v>
      </c>
      <c r="H4" s="51">
        <v>200</v>
      </c>
      <c r="I4" s="52">
        <f t="shared" si="0"/>
        <v>-26.087</v>
      </c>
      <c r="J4" s="50">
        <v>2</v>
      </c>
      <c r="K4" s="51"/>
      <c r="L4" s="52">
        <f aca="true" t="shared" si="3" ref="L4:L41">-13.6364*J4</f>
        <v>-27.2728</v>
      </c>
      <c r="M4" s="50">
        <v>2</v>
      </c>
      <c r="N4" s="51"/>
      <c r="O4" s="52">
        <f aca="true" t="shared" si="4" ref="O4:O41">-14.2857*M4</f>
        <v>-28.5714</v>
      </c>
      <c r="P4" s="87">
        <v>2</v>
      </c>
      <c r="Q4" s="96"/>
      <c r="R4" s="52">
        <f aca="true" t="shared" si="5" ref="R4:R41">-18.75*P4</f>
        <v>-37.5</v>
      </c>
      <c r="S4" s="54"/>
      <c r="T4" s="53"/>
      <c r="U4" s="76">
        <f t="shared" si="1"/>
        <v>68.02209000000006</v>
      </c>
      <c r="W4" s="86"/>
    </row>
    <row r="5" spans="1:23" ht="12.75">
      <c r="A5" s="2">
        <v>3</v>
      </c>
      <c r="B5" s="77" t="s">
        <v>58</v>
      </c>
      <c r="C5" s="49">
        <f>'2014年3月'!U5</f>
        <v>45.79719000000002</v>
      </c>
      <c r="D5" s="50">
        <v>1</v>
      </c>
      <c r="E5" s="51"/>
      <c r="F5" s="52">
        <f t="shared" si="2"/>
        <v>-9.375</v>
      </c>
      <c r="G5" s="50">
        <v>1</v>
      </c>
      <c r="H5" s="51"/>
      <c r="I5" s="52">
        <f t="shared" si="0"/>
        <v>-13.0435</v>
      </c>
      <c r="J5" s="50">
        <v>1</v>
      </c>
      <c r="K5" s="51"/>
      <c r="L5" s="52">
        <f t="shared" si="3"/>
        <v>-13.6364</v>
      </c>
      <c r="M5" s="50">
        <v>1</v>
      </c>
      <c r="N5" s="51"/>
      <c r="O5" s="52">
        <f t="shared" si="4"/>
        <v>-14.2857</v>
      </c>
      <c r="P5" s="87"/>
      <c r="Q5" s="96"/>
      <c r="R5" s="52">
        <f t="shared" si="5"/>
        <v>0</v>
      </c>
      <c r="S5" s="50"/>
      <c r="T5" s="53"/>
      <c r="U5" s="76">
        <f t="shared" si="1"/>
        <v>-4.54340999999998</v>
      </c>
      <c r="W5" s="86"/>
    </row>
    <row r="6" spans="1:23" ht="12.75">
      <c r="A6" s="2">
        <v>4</v>
      </c>
      <c r="B6" s="110">
        <v>9631</v>
      </c>
      <c r="C6" s="55">
        <f>'2014年3月'!U6</f>
        <v>57.50428999999999</v>
      </c>
      <c r="D6" s="60">
        <v>1</v>
      </c>
      <c r="E6" s="57"/>
      <c r="F6" s="58">
        <f t="shared" si="2"/>
        <v>-9.375</v>
      </c>
      <c r="G6" s="60">
        <v>1</v>
      </c>
      <c r="H6" s="57"/>
      <c r="I6" s="58">
        <f t="shared" si="0"/>
        <v>-13.0435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-14.2857</v>
      </c>
      <c r="P6" s="88"/>
      <c r="Q6" s="97"/>
      <c r="R6" s="58">
        <f t="shared" si="5"/>
        <v>0</v>
      </c>
      <c r="S6" s="60"/>
      <c r="T6" s="59"/>
      <c r="U6" s="76">
        <f t="shared" si="1"/>
        <v>20.80008999999999</v>
      </c>
      <c r="W6" s="86"/>
    </row>
    <row r="7" spans="1:23" ht="12.75">
      <c r="A7" s="2">
        <v>5</v>
      </c>
      <c r="B7" s="78" t="s">
        <v>95</v>
      </c>
      <c r="C7" s="55">
        <f>'2014年3月'!U7</f>
        <v>26.422590000000035</v>
      </c>
      <c r="D7" s="56">
        <v>1</v>
      </c>
      <c r="E7" s="57"/>
      <c r="F7" s="58">
        <f t="shared" si="2"/>
        <v>-9.375</v>
      </c>
      <c r="G7" s="56">
        <v>1</v>
      </c>
      <c r="H7" s="57">
        <v>100</v>
      </c>
      <c r="I7" s="58">
        <f t="shared" si="0"/>
        <v>-13.0435</v>
      </c>
      <c r="J7" s="56">
        <v>1</v>
      </c>
      <c r="K7" s="57"/>
      <c r="L7" s="58">
        <f t="shared" si="3"/>
        <v>-13.6364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/>
      <c r="U7" s="76">
        <f t="shared" si="1"/>
        <v>90.36769000000005</v>
      </c>
      <c r="W7" s="86"/>
    </row>
    <row r="8" spans="1:23" ht="12.75">
      <c r="A8" s="2">
        <v>6</v>
      </c>
      <c r="B8" s="78" t="s">
        <v>60</v>
      </c>
      <c r="C8" s="55">
        <f>'2014年3月'!U8</f>
        <v>184.72739000000004</v>
      </c>
      <c r="D8" s="56">
        <v>1</v>
      </c>
      <c r="E8" s="57"/>
      <c r="F8" s="58">
        <f t="shared" si="2"/>
        <v>-9.375</v>
      </c>
      <c r="G8" s="56">
        <v>1</v>
      </c>
      <c r="H8" s="57"/>
      <c r="I8" s="58">
        <f t="shared" si="0"/>
        <v>-13.0435</v>
      </c>
      <c r="J8" s="56">
        <v>1</v>
      </c>
      <c r="K8" s="57"/>
      <c r="L8" s="58">
        <f t="shared" si="3"/>
        <v>-13.6364</v>
      </c>
      <c r="M8" s="56">
        <v>1</v>
      </c>
      <c r="N8" s="57"/>
      <c r="O8" s="58">
        <f t="shared" si="4"/>
        <v>-14.2857</v>
      </c>
      <c r="P8" s="89">
        <v>1</v>
      </c>
      <c r="Q8" s="98"/>
      <c r="R8" s="58">
        <f t="shared" si="5"/>
        <v>-18.75</v>
      </c>
      <c r="S8" s="60"/>
      <c r="T8" s="59"/>
      <c r="U8" s="76">
        <f t="shared" si="1"/>
        <v>115.63679000000005</v>
      </c>
      <c r="W8" s="86"/>
    </row>
    <row r="9" spans="1:23" ht="12.75">
      <c r="A9" s="2">
        <v>7</v>
      </c>
      <c r="B9" s="109" t="s">
        <v>61</v>
      </c>
      <c r="C9" s="67">
        <f>'2014年3月'!U9</f>
        <v>31.941290000000002</v>
      </c>
      <c r="D9" s="68">
        <v>1</v>
      </c>
      <c r="E9" s="69"/>
      <c r="F9" s="70">
        <f t="shared" si="2"/>
        <v>-9.375</v>
      </c>
      <c r="G9" s="68">
        <v>1</v>
      </c>
      <c r="H9" s="69"/>
      <c r="I9" s="70">
        <f t="shared" si="0"/>
        <v>-13.0435</v>
      </c>
      <c r="J9" s="68">
        <v>1</v>
      </c>
      <c r="K9" s="69"/>
      <c r="L9" s="70">
        <f t="shared" si="3"/>
        <v>-13.6364</v>
      </c>
      <c r="M9" s="68"/>
      <c r="N9" s="69"/>
      <c r="O9" s="70">
        <f t="shared" si="4"/>
        <v>0</v>
      </c>
      <c r="P9" s="90"/>
      <c r="Q9" s="99"/>
      <c r="R9" s="70">
        <f t="shared" si="5"/>
        <v>0</v>
      </c>
      <c r="S9" s="68"/>
      <c r="T9" s="71"/>
      <c r="U9" s="76">
        <f t="shared" si="1"/>
        <v>-4.113609999999998</v>
      </c>
      <c r="W9" s="86"/>
    </row>
    <row r="10" spans="1:23" ht="12.75">
      <c r="A10" s="2">
        <v>8</v>
      </c>
      <c r="B10" s="81" t="s">
        <v>96</v>
      </c>
      <c r="C10" s="67">
        <f>'2014年3月'!U10</f>
        <v>106.27879000000006</v>
      </c>
      <c r="D10" s="72">
        <v>1</v>
      </c>
      <c r="E10" s="69"/>
      <c r="F10" s="70">
        <f t="shared" si="2"/>
        <v>-9.375</v>
      </c>
      <c r="G10" s="72">
        <v>1</v>
      </c>
      <c r="H10" s="69"/>
      <c r="I10" s="70">
        <f t="shared" si="0"/>
        <v>-13.0435</v>
      </c>
      <c r="J10" s="72">
        <v>1</v>
      </c>
      <c r="K10" s="69"/>
      <c r="L10" s="70">
        <f t="shared" si="3"/>
        <v>-13.6364</v>
      </c>
      <c r="M10" s="72"/>
      <c r="N10" s="69"/>
      <c r="O10" s="70">
        <f t="shared" si="4"/>
        <v>0</v>
      </c>
      <c r="P10" s="91">
        <v>1</v>
      </c>
      <c r="Q10" s="100"/>
      <c r="R10" s="70">
        <f t="shared" si="5"/>
        <v>-18.75</v>
      </c>
      <c r="S10" s="72"/>
      <c r="T10" s="71"/>
      <c r="U10" s="76">
        <f t="shared" si="1"/>
        <v>51.47389000000007</v>
      </c>
      <c r="W10" s="86"/>
    </row>
    <row r="11" spans="1:23" ht="12.75">
      <c r="A11" s="2">
        <v>9</v>
      </c>
      <c r="B11" s="109" t="s">
        <v>63</v>
      </c>
      <c r="C11" s="67">
        <f>'2014年3月'!U11</f>
        <v>93.13189000000006</v>
      </c>
      <c r="D11" s="68">
        <v>1</v>
      </c>
      <c r="E11" s="69"/>
      <c r="F11" s="70">
        <f t="shared" si="2"/>
        <v>-9.375</v>
      </c>
      <c r="G11" s="68"/>
      <c r="H11" s="69"/>
      <c r="I11" s="70">
        <f t="shared" si="0"/>
        <v>0</v>
      </c>
      <c r="J11" s="68">
        <v>1</v>
      </c>
      <c r="K11" s="69"/>
      <c r="L11" s="70">
        <f t="shared" si="3"/>
        <v>-13.6364</v>
      </c>
      <c r="M11" s="68">
        <v>1</v>
      </c>
      <c r="N11" s="69"/>
      <c r="O11" s="70">
        <f t="shared" si="4"/>
        <v>-14.2857</v>
      </c>
      <c r="P11" s="90"/>
      <c r="Q11" s="99"/>
      <c r="R11" s="70">
        <f t="shared" si="5"/>
        <v>0</v>
      </c>
      <c r="S11" s="68"/>
      <c r="T11" s="71"/>
      <c r="U11" s="76">
        <f t="shared" si="1"/>
        <v>55.83479000000006</v>
      </c>
      <c r="W11" s="86"/>
    </row>
    <row r="12" spans="1:23" ht="12.75">
      <c r="A12" s="2">
        <v>10</v>
      </c>
      <c r="B12" s="79" t="s">
        <v>193</v>
      </c>
      <c r="C12" s="61">
        <f>'2014年3月'!U12</f>
        <v>99.56088999999999</v>
      </c>
      <c r="D12" s="62">
        <v>1</v>
      </c>
      <c r="E12" s="63"/>
      <c r="F12" s="64">
        <f t="shared" si="2"/>
        <v>-9.375</v>
      </c>
      <c r="G12" s="62">
        <v>1</v>
      </c>
      <c r="H12" s="63"/>
      <c r="I12" s="64">
        <f t="shared" si="0"/>
        <v>-13.0435</v>
      </c>
      <c r="J12" s="62">
        <v>1</v>
      </c>
      <c r="K12" s="63"/>
      <c r="L12" s="64">
        <f t="shared" si="3"/>
        <v>-13.6364</v>
      </c>
      <c r="M12" s="62">
        <v>1</v>
      </c>
      <c r="N12" s="63"/>
      <c r="O12" s="64">
        <f t="shared" si="4"/>
        <v>-14.2857</v>
      </c>
      <c r="P12" s="92">
        <v>1</v>
      </c>
      <c r="Q12" s="101"/>
      <c r="R12" s="64">
        <f t="shared" si="5"/>
        <v>-18.75</v>
      </c>
      <c r="S12" s="62"/>
      <c r="T12" s="66"/>
      <c r="U12" s="76">
        <f t="shared" si="1"/>
        <v>30.47028999999999</v>
      </c>
      <c r="W12" s="86"/>
    </row>
    <row r="13" spans="1:23" ht="12.75">
      <c r="A13" s="2">
        <v>11</v>
      </c>
      <c r="B13" s="79" t="s">
        <v>65</v>
      </c>
      <c r="C13" s="61">
        <f>'2014年3月'!U13</f>
        <v>80.98419000000001</v>
      </c>
      <c r="D13" s="62">
        <v>1</v>
      </c>
      <c r="E13" s="63"/>
      <c r="F13" s="64">
        <f t="shared" si="2"/>
        <v>-9.375</v>
      </c>
      <c r="G13" s="62"/>
      <c r="H13" s="63"/>
      <c r="I13" s="64">
        <f t="shared" si="0"/>
        <v>0</v>
      </c>
      <c r="J13" s="62"/>
      <c r="K13" s="63"/>
      <c r="L13" s="64">
        <f t="shared" si="3"/>
        <v>0</v>
      </c>
      <c r="M13" s="62">
        <v>1</v>
      </c>
      <c r="N13" s="106"/>
      <c r="O13" s="64">
        <f t="shared" si="4"/>
        <v>-14.2857</v>
      </c>
      <c r="P13" s="92"/>
      <c r="Q13" s="101"/>
      <c r="R13" s="64">
        <f t="shared" si="5"/>
        <v>0</v>
      </c>
      <c r="S13" s="65"/>
      <c r="T13" s="66"/>
      <c r="U13" s="76">
        <f t="shared" si="1"/>
        <v>57.323490000000014</v>
      </c>
      <c r="W13" s="86"/>
    </row>
    <row r="14" spans="1:23" ht="12.75">
      <c r="A14" s="2">
        <v>12</v>
      </c>
      <c r="B14" s="79" t="s">
        <v>66</v>
      </c>
      <c r="C14" s="61">
        <f>'2014年3月'!U14</f>
        <v>48.622490000000006</v>
      </c>
      <c r="D14" s="62">
        <v>1</v>
      </c>
      <c r="E14" s="63"/>
      <c r="F14" s="64">
        <f t="shared" si="2"/>
        <v>-9.375</v>
      </c>
      <c r="G14" s="62"/>
      <c r="H14" s="63"/>
      <c r="I14" s="64">
        <f>-13.0435*G13</f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1"/>
        <v>39.247490000000006</v>
      </c>
      <c r="W14" s="86"/>
    </row>
    <row r="15" spans="1:23" ht="12.75">
      <c r="A15" s="2">
        <v>13</v>
      </c>
      <c r="B15" s="80" t="s">
        <v>67</v>
      </c>
      <c r="C15" s="43">
        <f>'2014年3月'!U15</f>
        <v>131.66109000000006</v>
      </c>
      <c r="D15" s="44">
        <v>1</v>
      </c>
      <c r="E15" s="45"/>
      <c r="F15" s="46">
        <f t="shared" si="2"/>
        <v>-9.375</v>
      </c>
      <c r="G15" s="44"/>
      <c r="H15" s="45"/>
      <c r="I15" s="46">
        <f aca="true" t="shared" si="6" ref="I15:I41">-13.0435*G15</f>
        <v>0</v>
      </c>
      <c r="J15" s="44">
        <v>1</v>
      </c>
      <c r="K15" s="45"/>
      <c r="L15" s="46">
        <f t="shared" si="3"/>
        <v>-13.6364</v>
      </c>
      <c r="M15" s="44"/>
      <c r="N15" s="45"/>
      <c r="O15" s="46">
        <f t="shared" si="4"/>
        <v>0</v>
      </c>
      <c r="P15" s="93">
        <v>1</v>
      </c>
      <c r="Q15" s="102"/>
      <c r="R15" s="46">
        <f t="shared" si="5"/>
        <v>-18.75</v>
      </c>
      <c r="S15" s="48"/>
      <c r="T15" s="47"/>
      <c r="U15" s="76">
        <f t="shared" si="1"/>
        <v>89.89969000000006</v>
      </c>
      <c r="W15" s="86"/>
    </row>
    <row r="16" spans="1:23" ht="12.75">
      <c r="A16" s="2">
        <v>14</v>
      </c>
      <c r="B16" s="80" t="s">
        <v>53</v>
      </c>
      <c r="C16" s="43">
        <f>'2014年3月'!U16</f>
        <v>52.308090000000014</v>
      </c>
      <c r="D16" s="44">
        <v>1</v>
      </c>
      <c r="E16" s="45"/>
      <c r="F16" s="46">
        <f t="shared" si="2"/>
        <v>-9.375</v>
      </c>
      <c r="G16" s="44">
        <v>1</v>
      </c>
      <c r="H16" s="45"/>
      <c r="I16" s="46">
        <f t="shared" si="6"/>
        <v>-13.0435</v>
      </c>
      <c r="J16" s="44">
        <v>1</v>
      </c>
      <c r="K16" s="45"/>
      <c r="L16" s="46">
        <f t="shared" si="3"/>
        <v>-13.6364</v>
      </c>
      <c r="M16" s="44">
        <v>1</v>
      </c>
      <c r="N16" s="45"/>
      <c r="O16" s="46">
        <f t="shared" si="4"/>
        <v>-14.2857</v>
      </c>
      <c r="P16" s="93">
        <v>1</v>
      </c>
      <c r="Q16" s="102"/>
      <c r="R16" s="46">
        <f t="shared" si="5"/>
        <v>-18.75</v>
      </c>
      <c r="S16" s="44"/>
      <c r="T16" s="47"/>
      <c r="U16" s="76">
        <f t="shared" si="1"/>
        <v>-16.782509999999988</v>
      </c>
      <c r="W16" s="86"/>
    </row>
    <row r="17" spans="1:23" ht="12.75">
      <c r="A17" s="2">
        <v>15</v>
      </c>
      <c r="B17" s="80" t="s">
        <v>94</v>
      </c>
      <c r="C17" s="43">
        <f>'2014年3月'!U17</f>
        <v>67.80949000000003</v>
      </c>
      <c r="D17" s="44">
        <v>1</v>
      </c>
      <c r="E17" s="45"/>
      <c r="F17" s="46">
        <f t="shared" si="2"/>
        <v>-9.375</v>
      </c>
      <c r="G17" s="44"/>
      <c r="H17" s="45"/>
      <c r="I17" s="46">
        <f t="shared" si="6"/>
        <v>0</v>
      </c>
      <c r="J17" s="44">
        <v>1</v>
      </c>
      <c r="K17" s="45"/>
      <c r="L17" s="46">
        <f t="shared" si="3"/>
        <v>-13.6364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/>
      <c r="T17" s="47"/>
      <c r="U17" s="76">
        <f t="shared" si="1"/>
        <v>44.79809000000002</v>
      </c>
      <c r="W17" s="86"/>
    </row>
    <row r="18" spans="1:23" ht="12.75">
      <c r="A18" s="2">
        <v>16</v>
      </c>
      <c r="B18" s="77" t="s">
        <v>182</v>
      </c>
      <c r="C18" s="49">
        <f>'2014年3月'!U18</f>
        <v>45.521490000000014</v>
      </c>
      <c r="D18" s="50">
        <v>1</v>
      </c>
      <c r="E18" s="51"/>
      <c r="F18" s="52">
        <f t="shared" si="2"/>
        <v>-9.375</v>
      </c>
      <c r="G18" s="50"/>
      <c r="H18" s="51"/>
      <c r="I18" s="52">
        <f t="shared" si="6"/>
        <v>0</v>
      </c>
      <c r="J18" s="50">
        <v>1</v>
      </c>
      <c r="K18" s="51"/>
      <c r="L18" s="52">
        <f t="shared" si="3"/>
        <v>-13.6364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1"/>
        <v>22.510090000000012</v>
      </c>
      <c r="W18" s="86"/>
    </row>
    <row r="19" spans="1:23" ht="12.75">
      <c r="A19" s="2">
        <v>17</v>
      </c>
      <c r="B19" s="77" t="s">
        <v>69</v>
      </c>
      <c r="C19" s="49">
        <f>'2014年3月'!U19</f>
        <v>57.13289000000007</v>
      </c>
      <c r="D19" s="50">
        <v>1</v>
      </c>
      <c r="E19" s="51"/>
      <c r="F19" s="52">
        <f t="shared" si="2"/>
        <v>-9.375</v>
      </c>
      <c r="G19" s="50">
        <v>1</v>
      </c>
      <c r="H19" s="51"/>
      <c r="I19" s="52">
        <f t="shared" si="6"/>
        <v>-13.0435</v>
      </c>
      <c r="J19" s="50">
        <v>1</v>
      </c>
      <c r="K19" s="51"/>
      <c r="L19" s="52">
        <f t="shared" si="3"/>
        <v>-13.6364</v>
      </c>
      <c r="M19" s="50">
        <v>1</v>
      </c>
      <c r="N19" s="51"/>
      <c r="O19" s="52">
        <f t="shared" si="4"/>
        <v>-14.2857</v>
      </c>
      <c r="P19" s="87">
        <v>1</v>
      </c>
      <c r="Q19" s="96"/>
      <c r="R19" s="52">
        <f t="shared" si="5"/>
        <v>-18.75</v>
      </c>
      <c r="S19" s="54"/>
      <c r="T19" s="53"/>
      <c r="U19" s="76">
        <f t="shared" si="1"/>
        <v>-11.957709999999937</v>
      </c>
      <c r="W19" s="86"/>
    </row>
    <row r="20" spans="1:23" ht="12.75">
      <c r="A20" s="2">
        <v>18</v>
      </c>
      <c r="B20" s="77" t="s">
        <v>97</v>
      </c>
      <c r="C20" s="49">
        <f>'2014年3月'!U20</f>
        <v>16.76499</v>
      </c>
      <c r="D20" s="50">
        <v>1</v>
      </c>
      <c r="E20" s="51"/>
      <c r="F20" s="52">
        <f t="shared" si="2"/>
        <v>-9.375</v>
      </c>
      <c r="G20" s="50"/>
      <c r="H20" s="51"/>
      <c r="I20" s="52">
        <f t="shared" si="6"/>
        <v>0</v>
      </c>
      <c r="J20" s="50"/>
      <c r="K20" s="51"/>
      <c r="L20" s="52">
        <f t="shared" si="3"/>
        <v>0</v>
      </c>
      <c r="M20" s="50">
        <v>1</v>
      </c>
      <c r="N20" s="51"/>
      <c r="O20" s="52">
        <f t="shared" si="4"/>
        <v>-14.2857</v>
      </c>
      <c r="P20" s="87"/>
      <c r="Q20" s="96"/>
      <c r="R20" s="52">
        <f t="shared" si="5"/>
        <v>0</v>
      </c>
      <c r="S20" s="50"/>
      <c r="T20" s="53"/>
      <c r="U20" s="76">
        <f t="shared" si="1"/>
        <v>-6.895709999999999</v>
      </c>
      <c r="W20" s="86"/>
    </row>
    <row r="21" spans="1:23" ht="12.75">
      <c r="A21" s="2">
        <v>19</v>
      </c>
      <c r="B21" s="78" t="s">
        <v>169</v>
      </c>
      <c r="C21" s="55">
        <f>'2014年3月'!U21</f>
        <v>-6.594509999999981</v>
      </c>
      <c r="D21" s="56"/>
      <c r="E21" s="57"/>
      <c r="F21" s="58">
        <f t="shared" si="2"/>
        <v>0</v>
      </c>
      <c r="G21" s="56">
        <v>1</v>
      </c>
      <c r="H21" s="57"/>
      <c r="I21" s="58">
        <f t="shared" si="6"/>
        <v>-13.0435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1"/>
        <v>-19.63800999999998</v>
      </c>
      <c r="W21" s="86"/>
    </row>
    <row r="22" spans="1:23" ht="12.75">
      <c r="A22" s="2">
        <v>20</v>
      </c>
      <c r="B22" s="78" t="s">
        <v>72</v>
      </c>
      <c r="C22" s="55">
        <f>'2014年3月'!U22</f>
        <v>-17.150210000000023</v>
      </c>
      <c r="D22" s="56">
        <v>1</v>
      </c>
      <c r="E22" s="57"/>
      <c r="F22" s="58">
        <f t="shared" si="2"/>
        <v>-9.375</v>
      </c>
      <c r="G22" s="56">
        <v>1</v>
      </c>
      <c r="H22" s="57"/>
      <c r="I22" s="58">
        <f t="shared" si="6"/>
        <v>-13.0435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>
        <v>200</v>
      </c>
      <c r="R22" s="58">
        <f t="shared" si="5"/>
        <v>-18.75</v>
      </c>
      <c r="S22" s="56"/>
      <c r="T22" s="59"/>
      <c r="U22" s="76">
        <f t="shared" si="1"/>
        <v>141.68129</v>
      </c>
      <c r="W22" s="86"/>
    </row>
    <row r="23" spans="1:23" ht="12.75">
      <c r="A23" s="2">
        <v>21</v>
      </c>
      <c r="B23" s="78" t="s">
        <v>73</v>
      </c>
      <c r="C23" s="55">
        <f>'2014年3月'!U23</f>
        <v>230.78588999999988</v>
      </c>
      <c r="D23" s="56">
        <v>1</v>
      </c>
      <c r="E23" s="57"/>
      <c r="F23" s="58">
        <f t="shared" si="2"/>
        <v>-9.375</v>
      </c>
      <c r="G23" s="56">
        <v>1</v>
      </c>
      <c r="H23" s="57"/>
      <c r="I23" s="58">
        <f t="shared" si="6"/>
        <v>-13.0435</v>
      </c>
      <c r="J23" s="56">
        <v>1</v>
      </c>
      <c r="K23" s="57"/>
      <c r="L23" s="58">
        <f t="shared" si="3"/>
        <v>-13.6364</v>
      </c>
      <c r="M23" s="56">
        <v>1</v>
      </c>
      <c r="N23" s="57"/>
      <c r="O23" s="58">
        <f t="shared" si="4"/>
        <v>-14.2857</v>
      </c>
      <c r="P23" s="89"/>
      <c r="Q23" s="98"/>
      <c r="R23" s="58">
        <f t="shared" si="5"/>
        <v>0</v>
      </c>
      <c r="S23" s="60"/>
      <c r="T23" s="59"/>
      <c r="U23" s="76">
        <f t="shared" si="1"/>
        <v>180.4452899999999</v>
      </c>
      <c r="W23" s="86"/>
    </row>
    <row r="24" spans="1:23" ht="12.75">
      <c r="A24" s="2">
        <v>22</v>
      </c>
      <c r="B24" s="81" t="s">
        <v>74</v>
      </c>
      <c r="C24" s="67">
        <f>'2014年3月'!U24</f>
        <v>43.15999000000008</v>
      </c>
      <c r="D24" s="68">
        <v>1</v>
      </c>
      <c r="E24" s="69"/>
      <c r="F24" s="70">
        <f t="shared" si="2"/>
        <v>-9.375</v>
      </c>
      <c r="G24" s="68">
        <v>1</v>
      </c>
      <c r="H24" s="69"/>
      <c r="I24" s="70">
        <f t="shared" si="6"/>
        <v>-13.0435</v>
      </c>
      <c r="J24" s="68">
        <v>1</v>
      </c>
      <c r="K24" s="69"/>
      <c r="L24" s="70">
        <f t="shared" si="3"/>
        <v>-13.6364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-18.75</v>
      </c>
      <c r="S24" s="68"/>
      <c r="T24" s="71"/>
      <c r="U24" s="76">
        <f t="shared" si="1"/>
        <v>-11.644909999999923</v>
      </c>
      <c r="W24" s="86"/>
    </row>
    <row r="25" spans="1:23" ht="12.75">
      <c r="A25" s="2">
        <v>23</v>
      </c>
      <c r="B25" s="81" t="s">
        <v>75</v>
      </c>
      <c r="C25" s="67">
        <f>'2014年3月'!U25</f>
        <v>68.83299</v>
      </c>
      <c r="D25" s="68">
        <v>1</v>
      </c>
      <c r="E25" s="69"/>
      <c r="F25" s="70">
        <f t="shared" si="2"/>
        <v>-9.375</v>
      </c>
      <c r="G25" s="68">
        <v>1</v>
      </c>
      <c r="H25" s="69"/>
      <c r="I25" s="70">
        <f t="shared" si="6"/>
        <v>-13.0435</v>
      </c>
      <c r="J25" s="68">
        <v>1</v>
      </c>
      <c r="K25" s="69"/>
      <c r="L25" s="70">
        <f t="shared" si="3"/>
        <v>-13.6364</v>
      </c>
      <c r="M25" s="68"/>
      <c r="N25" s="69"/>
      <c r="O25" s="70">
        <f t="shared" si="4"/>
        <v>0</v>
      </c>
      <c r="P25" s="90">
        <v>1</v>
      </c>
      <c r="Q25" s="99"/>
      <c r="R25" s="70">
        <f t="shared" si="5"/>
        <v>-18.75</v>
      </c>
      <c r="S25" s="68"/>
      <c r="T25" s="71"/>
      <c r="U25" s="76">
        <f t="shared" si="1"/>
        <v>14.028089999999992</v>
      </c>
      <c r="W25" s="86"/>
    </row>
    <row r="26" spans="1:23" ht="12.75">
      <c r="A26" s="2">
        <v>24</v>
      </c>
      <c r="B26" s="81" t="s">
        <v>92</v>
      </c>
      <c r="C26" s="67">
        <f>'2014年3月'!U26</f>
        <v>-9.66560999999994</v>
      </c>
      <c r="D26" s="68">
        <v>1</v>
      </c>
      <c r="E26" s="69"/>
      <c r="F26" s="70">
        <f t="shared" si="2"/>
        <v>-9.375</v>
      </c>
      <c r="G26" s="68">
        <v>1</v>
      </c>
      <c r="H26" s="69"/>
      <c r="I26" s="70">
        <f t="shared" si="6"/>
        <v>-13.0435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-14.2857</v>
      </c>
      <c r="P26" s="90">
        <v>1</v>
      </c>
      <c r="Q26" s="99"/>
      <c r="R26" s="70">
        <f t="shared" si="5"/>
        <v>-18.75</v>
      </c>
      <c r="S26" s="72"/>
      <c r="T26" s="71"/>
      <c r="U26" s="76">
        <f t="shared" si="1"/>
        <v>-65.11980999999994</v>
      </c>
      <c r="W26" s="86"/>
    </row>
    <row r="27" spans="1:23" ht="12.75">
      <c r="A27" s="2">
        <v>25</v>
      </c>
      <c r="B27" s="79" t="s">
        <v>98</v>
      </c>
      <c r="C27" s="61">
        <f>'2014年3月'!U27</f>
        <v>59.78048999999999</v>
      </c>
      <c r="D27" s="62">
        <v>1</v>
      </c>
      <c r="E27" s="73"/>
      <c r="F27" s="64">
        <f t="shared" si="2"/>
        <v>-9.375</v>
      </c>
      <c r="G27" s="62">
        <v>1</v>
      </c>
      <c r="H27" s="73"/>
      <c r="I27" s="64">
        <f t="shared" si="6"/>
        <v>-13.0435</v>
      </c>
      <c r="J27" s="62"/>
      <c r="K27" s="73"/>
      <c r="L27" s="64">
        <f t="shared" si="3"/>
        <v>0</v>
      </c>
      <c r="M27" s="62">
        <v>1</v>
      </c>
      <c r="N27" s="73"/>
      <c r="O27" s="64">
        <f t="shared" si="4"/>
        <v>-14.2857</v>
      </c>
      <c r="P27" s="92">
        <v>1</v>
      </c>
      <c r="Q27" s="101"/>
      <c r="R27" s="64">
        <f t="shared" si="5"/>
        <v>-18.75</v>
      </c>
      <c r="S27" s="62"/>
      <c r="T27" s="66"/>
      <c r="U27" s="76">
        <f t="shared" si="1"/>
        <v>4.326289999999993</v>
      </c>
      <c r="W27" s="86"/>
    </row>
    <row r="28" spans="1:23" ht="12.75">
      <c r="A28" s="2">
        <v>26</v>
      </c>
      <c r="B28" s="79" t="s">
        <v>99</v>
      </c>
      <c r="C28" s="61">
        <f>'2014年3月'!U28</f>
        <v>50.13699000000008</v>
      </c>
      <c r="D28" s="65">
        <v>1</v>
      </c>
      <c r="E28" s="73"/>
      <c r="F28" s="64">
        <f t="shared" si="2"/>
        <v>-9.375</v>
      </c>
      <c r="G28" s="65"/>
      <c r="H28" s="73"/>
      <c r="I28" s="64">
        <f t="shared" si="6"/>
        <v>0</v>
      </c>
      <c r="J28" s="65"/>
      <c r="K28" s="73"/>
      <c r="L28" s="64">
        <f t="shared" si="3"/>
        <v>0</v>
      </c>
      <c r="M28" s="65">
        <v>1</v>
      </c>
      <c r="N28" s="73"/>
      <c r="O28" s="64">
        <f t="shared" si="4"/>
        <v>-14.2857</v>
      </c>
      <c r="P28" s="94"/>
      <c r="Q28" s="103"/>
      <c r="R28" s="64">
        <f t="shared" si="5"/>
        <v>0</v>
      </c>
      <c r="S28" s="65"/>
      <c r="T28" s="66"/>
      <c r="U28" s="76">
        <f t="shared" si="1"/>
        <v>26.476290000000084</v>
      </c>
      <c r="W28" s="86"/>
    </row>
    <row r="29" spans="1:23" ht="12.75">
      <c r="A29" s="2">
        <v>27</v>
      </c>
      <c r="B29" s="79" t="s">
        <v>100</v>
      </c>
      <c r="C29" s="61">
        <f>'2014年3月'!U29</f>
        <v>25.05268999999999</v>
      </c>
      <c r="D29" s="62">
        <v>1</v>
      </c>
      <c r="E29" s="63"/>
      <c r="F29" s="64">
        <f t="shared" si="2"/>
        <v>-9.375</v>
      </c>
      <c r="G29" s="62"/>
      <c r="H29" s="63"/>
      <c r="I29" s="64">
        <f t="shared" si="6"/>
        <v>0</v>
      </c>
      <c r="J29" s="62">
        <v>1</v>
      </c>
      <c r="K29" s="63">
        <v>200</v>
      </c>
      <c r="L29" s="64">
        <f t="shared" si="3"/>
        <v>-13.6364</v>
      </c>
      <c r="M29" s="62">
        <v>1</v>
      </c>
      <c r="N29" s="63"/>
      <c r="O29" s="64">
        <f t="shared" si="4"/>
        <v>-14.2857</v>
      </c>
      <c r="P29" s="92">
        <v>1</v>
      </c>
      <c r="Q29" s="101"/>
      <c r="R29" s="64">
        <f t="shared" si="5"/>
        <v>-18.75</v>
      </c>
      <c r="S29" s="62"/>
      <c r="T29" s="66"/>
      <c r="U29" s="76">
        <f t="shared" si="1"/>
        <v>169.00558999999998</v>
      </c>
      <c r="W29" s="86"/>
    </row>
    <row r="30" spans="1:23" ht="12.75">
      <c r="A30" s="2">
        <v>28</v>
      </c>
      <c r="B30" s="80" t="s">
        <v>80</v>
      </c>
      <c r="C30" s="43">
        <f>'2014年3月'!U30</f>
        <v>119.82350000000002</v>
      </c>
      <c r="D30" s="48"/>
      <c r="E30" s="74"/>
      <c r="F30" s="46">
        <f t="shared" si="2"/>
        <v>0</v>
      </c>
      <c r="G30" s="48">
        <v>1</v>
      </c>
      <c r="H30" s="74"/>
      <c r="I30" s="46">
        <f t="shared" si="6"/>
        <v>-13.0435</v>
      </c>
      <c r="J30" s="48">
        <v>1</v>
      </c>
      <c r="K30" s="74"/>
      <c r="L30" s="46">
        <f t="shared" si="3"/>
        <v>-13.6364</v>
      </c>
      <c r="M30" s="48">
        <v>1</v>
      </c>
      <c r="N30" s="74"/>
      <c r="O30" s="46">
        <f t="shared" si="4"/>
        <v>-14.2857</v>
      </c>
      <c r="P30" s="95"/>
      <c r="Q30" s="104"/>
      <c r="R30" s="46">
        <f t="shared" si="5"/>
        <v>0</v>
      </c>
      <c r="S30" s="48"/>
      <c r="T30" s="47"/>
      <c r="U30" s="76">
        <f t="shared" si="1"/>
        <v>78.85790000000003</v>
      </c>
      <c r="V30" s="28"/>
      <c r="W30" s="86"/>
    </row>
    <row r="31" spans="1:23" ht="12.75">
      <c r="A31" s="2">
        <v>29</v>
      </c>
      <c r="B31" s="80" t="s">
        <v>52</v>
      </c>
      <c r="C31" s="43">
        <f>'2014年3月'!U31</f>
        <v>31.725290000000008</v>
      </c>
      <c r="D31" s="44">
        <v>1</v>
      </c>
      <c r="E31" s="74"/>
      <c r="F31" s="46">
        <f t="shared" si="2"/>
        <v>-9.375</v>
      </c>
      <c r="G31" s="44">
        <v>1</v>
      </c>
      <c r="H31" s="74"/>
      <c r="I31" s="46">
        <f t="shared" si="6"/>
        <v>-13.0435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>
        <v>1</v>
      </c>
      <c r="Q31" s="102"/>
      <c r="R31" s="46">
        <f t="shared" si="5"/>
        <v>-18.75</v>
      </c>
      <c r="S31" s="44"/>
      <c r="T31" s="47"/>
      <c r="U31" s="76">
        <f t="shared" si="1"/>
        <v>-9.443209999999992</v>
      </c>
      <c r="W31" s="86"/>
    </row>
    <row r="32" spans="1:23" ht="12.75">
      <c r="A32" s="2">
        <v>30</v>
      </c>
      <c r="B32" s="80" t="s">
        <v>170</v>
      </c>
      <c r="C32" s="43">
        <f>'2014年3月'!U32</f>
        <v>8.774690000000014</v>
      </c>
      <c r="D32" s="48"/>
      <c r="E32" s="74"/>
      <c r="F32" s="46">
        <f t="shared" si="2"/>
        <v>0</v>
      </c>
      <c r="G32" s="48"/>
      <c r="H32" s="74"/>
      <c r="I32" s="46">
        <f t="shared" si="6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1"/>
        <v>8.774690000000014</v>
      </c>
      <c r="W32" s="86"/>
    </row>
    <row r="33" spans="1:23" ht="12.75">
      <c r="A33" s="2">
        <v>31</v>
      </c>
      <c r="B33" s="77" t="s">
        <v>104</v>
      </c>
      <c r="C33" s="49">
        <f>'2014年3月'!U33</f>
        <v>-9.91261</v>
      </c>
      <c r="D33" s="50">
        <v>1</v>
      </c>
      <c r="E33" s="51"/>
      <c r="F33" s="52">
        <f t="shared" si="2"/>
        <v>-9.375</v>
      </c>
      <c r="G33" s="50">
        <v>1</v>
      </c>
      <c r="H33" s="51">
        <v>200</v>
      </c>
      <c r="I33" s="52">
        <f t="shared" si="6"/>
        <v>-13.0435</v>
      </c>
      <c r="J33" s="50">
        <v>1</v>
      </c>
      <c r="K33" s="51"/>
      <c r="L33" s="52">
        <f t="shared" si="3"/>
        <v>-13.6364</v>
      </c>
      <c r="M33" s="50">
        <v>1</v>
      </c>
      <c r="N33" s="51"/>
      <c r="O33" s="52">
        <f t="shared" si="4"/>
        <v>-14.2857</v>
      </c>
      <c r="P33" s="87"/>
      <c r="Q33" s="96"/>
      <c r="R33" s="52">
        <f t="shared" si="5"/>
        <v>0</v>
      </c>
      <c r="S33" s="50"/>
      <c r="T33" s="53"/>
      <c r="U33" s="76">
        <f t="shared" si="1"/>
        <v>139.74679</v>
      </c>
      <c r="W33" s="86"/>
    </row>
    <row r="34" spans="1:23" ht="12.75">
      <c r="A34" s="2">
        <v>32</v>
      </c>
      <c r="B34" s="77" t="s">
        <v>190</v>
      </c>
      <c r="C34" s="49">
        <f>'2014年3月'!U34</f>
        <v>35.663090000000025</v>
      </c>
      <c r="D34" s="50">
        <v>1</v>
      </c>
      <c r="E34" s="51"/>
      <c r="F34" s="52">
        <f t="shared" si="2"/>
        <v>-9.375</v>
      </c>
      <c r="G34" s="85">
        <v>1</v>
      </c>
      <c r="H34" s="51"/>
      <c r="I34" s="52">
        <f t="shared" si="6"/>
        <v>-13.0435</v>
      </c>
      <c r="J34" s="85">
        <v>1</v>
      </c>
      <c r="K34" s="51"/>
      <c r="L34" s="52">
        <f t="shared" si="3"/>
        <v>-13.6364</v>
      </c>
      <c r="M34" s="50">
        <v>1</v>
      </c>
      <c r="N34" s="51">
        <v>100</v>
      </c>
      <c r="O34" s="52">
        <f t="shared" si="4"/>
        <v>-14.2857</v>
      </c>
      <c r="P34" s="87">
        <v>1</v>
      </c>
      <c r="Q34" s="96"/>
      <c r="R34" s="52">
        <f t="shared" si="5"/>
        <v>-18.75</v>
      </c>
      <c r="S34" s="54"/>
      <c r="T34" s="53"/>
      <c r="U34" s="76">
        <f t="shared" si="1"/>
        <v>66.57249000000002</v>
      </c>
      <c r="W34" s="86"/>
    </row>
    <row r="35" spans="1:23" ht="12.75">
      <c r="A35" s="2">
        <v>33</v>
      </c>
      <c r="B35" s="77" t="s">
        <v>207</v>
      </c>
      <c r="C35" s="49">
        <f>'2014年3月'!U35</f>
        <v>49.21779</v>
      </c>
      <c r="D35" s="50">
        <v>1</v>
      </c>
      <c r="E35" s="51"/>
      <c r="F35" s="52">
        <f t="shared" si="2"/>
        <v>-9.375</v>
      </c>
      <c r="G35" s="50"/>
      <c r="H35" s="51"/>
      <c r="I35" s="52">
        <f t="shared" si="6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1"/>
        <v>39.84279</v>
      </c>
      <c r="W35" s="86"/>
    </row>
    <row r="36" spans="1:23" ht="12.75">
      <c r="A36" s="2">
        <v>34</v>
      </c>
      <c r="B36" s="78" t="s">
        <v>101</v>
      </c>
      <c r="C36" s="55">
        <f>'2014年3月'!U36</f>
        <v>-0.01089999999999991</v>
      </c>
      <c r="D36" s="56"/>
      <c r="E36" s="57"/>
      <c r="F36" s="58">
        <f t="shared" si="2"/>
        <v>0</v>
      </c>
      <c r="G36" s="56"/>
      <c r="H36" s="57"/>
      <c r="I36" s="58">
        <f t="shared" si="6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1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'2014年3月'!U37</f>
        <v>56.6317</v>
      </c>
      <c r="D37" s="56"/>
      <c r="E37" s="57"/>
      <c r="F37" s="58">
        <f t="shared" si="2"/>
        <v>0</v>
      </c>
      <c r="G37" s="56"/>
      <c r="H37" s="57"/>
      <c r="I37" s="58">
        <f t="shared" si="6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1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'2014年3月'!U38</f>
        <v>87.80369000000002</v>
      </c>
      <c r="D38" s="56">
        <v>1</v>
      </c>
      <c r="E38" s="57"/>
      <c r="F38" s="58">
        <f t="shared" si="2"/>
        <v>-9.375</v>
      </c>
      <c r="G38" s="56"/>
      <c r="H38" s="57"/>
      <c r="I38" s="58">
        <f t="shared" si="6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1"/>
        <v>78.42869000000002</v>
      </c>
      <c r="W38" s="86"/>
    </row>
    <row r="39" spans="1:23" ht="12.75">
      <c r="A39" s="2">
        <v>37</v>
      </c>
      <c r="B39" s="81" t="s">
        <v>200</v>
      </c>
      <c r="C39" s="67">
        <f>'2014年3月'!U39</f>
        <v>116.2554</v>
      </c>
      <c r="D39" s="68">
        <v>1</v>
      </c>
      <c r="E39" s="69"/>
      <c r="F39" s="70">
        <f t="shared" si="2"/>
        <v>-9.375</v>
      </c>
      <c r="G39" s="68"/>
      <c r="H39" s="69"/>
      <c r="I39" s="70">
        <f t="shared" si="6"/>
        <v>0</v>
      </c>
      <c r="J39" s="68"/>
      <c r="K39" s="69"/>
      <c r="L39" s="70">
        <f t="shared" si="3"/>
        <v>0</v>
      </c>
      <c r="M39" s="68">
        <v>1</v>
      </c>
      <c r="N39" s="69"/>
      <c r="O39" s="70">
        <f t="shared" si="4"/>
        <v>-14.2857</v>
      </c>
      <c r="P39" s="90"/>
      <c r="Q39" s="99"/>
      <c r="R39" s="70">
        <f t="shared" si="5"/>
        <v>0</v>
      </c>
      <c r="S39" s="68"/>
      <c r="T39" s="71"/>
      <c r="U39" s="76">
        <f t="shared" si="1"/>
        <v>92.59469999999999</v>
      </c>
      <c r="W39" s="86"/>
    </row>
    <row r="40" spans="1:23" ht="12.75">
      <c r="A40" s="2">
        <v>38</v>
      </c>
      <c r="B40" s="81"/>
      <c r="C40" s="67">
        <f>'2014年3月'!U40</f>
        <v>0</v>
      </c>
      <c r="D40" s="68"/>
      <c r="E40" s="69"/>
      <c r="F40" s="70">
        <f t="shared" si="2"/>
        <v>0</v>
      </c>
      <c r="G40" s="68"/>
      <c r="H40" s="69"/>
      <c r="I40" s="70">
        <f t="shared" si="6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1"/>
        <v>0</v>
      </c>
      <c r="W40" s="86"/>
    </row>
    <row r="41" spans="1:23" ht="12.75">
      <c r="A41" s="2">
        <v>39</v>
      </c>
      <c r="B41" s="81"/>
      <c r="C41" s="67">
        <f>'2014年3月'!U41</f>
        <v>0</v>
      </c>
      <c r="D41" s="68"/>
      <c r="E41" s="69"/>
      <c r="F41" s="70">
        <f t="shared" si="2"/>
        <v>0</v>
      </c>
      <c r="G41" s="68"/>
      <c r="H41" s="69"/>
      <c r="I41" s="70">
        <f t="shared" si="6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1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32</v>
      </c>
      <c r="F43" s="1">
        <f>E54/D43</f>
        <v>9.375</v>
      </c>
      <c r="G43" s="1">
        <f>SUM(G3:G41)</f>
        <v>23</v>
      </c>
      <c r="I43" s="1">
        <f>H54/G43</f>
        <v>13.043478260869565</v>
      </c>
      <c r="J43" s="1">
        <f>SUM(J3:J41)</f>
        <v>22</v>
      </c>
      <c r="L43" s="1">
        <f>K54/J43</f>
        <v>13.636363636363637</v>
      </c>
      <c r="M43" s="1">
        <f>SUM(M3:M41)</f>
        <v>21</v>
      </c>
      <c r="O43" s="1">
        <f>N54/M43</f>
        <v>14.285714285714286</v>
      </c>
      <c r="P43" s="1">
        <f>SUM(P3:P41)</f>
        <v>16</v>
      </c>
      <c r="R43" s="1">
        <f>Q54/P43</f>
        <v>18.75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</v>
      </c>
      <c r="H45" s="28" t="s">
        <v>84</v>
      </c>
      <c r="I45" s="1">
        <f>SUM(I3:I41)</f>
        <v>-300.00049999999993</v>
      </c>
      <c r="K45" s="28" t="s">
        <v>84</v>
      </c>
      <c r="L45" s="1">
        <f>SUM(L3:L41)</f>
        <v>-300.00079999999997</v>
      </c>
      <c r="N45" s="28" t="s">
        <v>84</v>
      </c>
      <c r="O45" s="1">
        <f>SUM(O3:O41)</f>
        <v>-299.9997</v>
      </c>
      <c r="Q45" s="28" t="s">
        <v>84</v>
      </c>
      <c r="R45" s="1">
        <f>SUM(R3:R41)</f>
        <v>-300</v>
      </c>
      <c r="U45" s="19"/>
    </row>
    <row r="46" spans="2:21" ht="12.75">
      <c r="B46" s="29" t="s">
        <v>85</v>
      </c>
      <c r="C46" s="27">
        <f>SUM(C3:C41)</f>
        <v>2200.0006700000004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1699.9996700000002</v>
      </c>
      <c r="W47" s="86">
        <f>U47</f>
        <v>1699.9996700000002</v>
      </c>
    </row>
    <row r="48" spans="2:20" ht="12.75" customHeight="1">
      <c r="B48" s="86"/>
      <c r="D48" s="117" t="s">
        <v>266</v>
      </c>
      <c r="E48" s="118"/>
      <c r="F48" s="119"/>
      <c r="G48" s="117" t="s">
        <v>267</v>
      </c>
      <c r="H48" s="118"/>
      <c r="I48" s="119"/>
      <c r="J48" s="117" t="s">
        <v>268</v>
      </c>
      <c r="K48" s="118"/>
      <c r="L48" s="119"/>
      <c r="M48" s="117" t="s">
        <v>269</v>
      </c>
      <c r="N48" s="118"/>
      <c r="O48" s="119"/>
      <c r="P48" s="117" t="s">
        <v>270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 t="s">
        <v>271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82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K72" s="28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M77" s="105"/>
      <c r="P77" s="105"/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7" sqref="Q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41770</v>
      </c>
      <c r="E1" s="126"/>
      <c r="F1" s="127"/>
      <c r="G1" s="16"/>
      <c r="H1" s="24">
        <v>41777</v>
      </c>
      <c r="I1" s="17"/>
      <c r="J1" s="30"/>
      <c r="K1" s="24">
        <v>41784</v>
      </c>
      <c r="L1" s="31"/>
      <c r="M1" s="16"/>
      <c r="N1" s="24">
        <v>41792</v>
      </c>
      <c r="O1" s="17"/>
      <c r="P1" s="16"/>
      <c r="Q1" s="24">
        <v>41798</v>
      </c>
      <c r="R1" s="17"/>
      <c r="S1" s="128"/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'2014年4月'!U3</f>
        <v>66.35239000000003</v>
      </c>
      <c r="D3" s="50"/>
      <c r="E3" s="51"/>
      <c r="F3" s="52">
        <f>-16.3889*D3</f>
        <v>0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-12.5*J3</f>
        <v>-12.5</v>
      </c>
      <c r="M3" s="50">
        <v>1</v>
      </c>
      <c r="N3" s="51"/>
      <c r="O3" s="52">
        <f>-18.75*M3</f>
        <v>-18.75</v>
      </c>
      <c r="P3" s="87">
        <v>1</v>
      </c>
      <c r="Q3" s="96">
        <v>100</v>
      </c>
      <c r="R3" s="52">
        <f>-12.6087*P3</f>
        <v>-12.6087</v>
      </c>
      <c r="S3" s="50"/>
      <c r="T3" s="53"/>
      <c r="U3" s="76">
        <f aca="true" t="shared" si="0" ref="U3:U41">C3+E3+F3+H3+I3+K3+L3+N3+O3+T3+Q3+R3</f>
        <v>107.49369000000003</v>
      </c>
      <c r="W3" s="86"/>
    </row>
    <row r="4" spans="1:23" ht="12.75">
      <c r="A4" s="2">
        <v>2</v>
      </c>
      <c r="B4" s="75" t="s">
        <v>3</v>
      </c>
      <c r="C4" s="49">
        <f>'2014年4月'!U4</f>
        <v>68.02209000000006</v>
      </c>
      <c r="D4" s="50">
        <v>2</v>
      </c>
      <c r="E4" s="51"/>
      <c r="F4" s="52">
        <f aca="true" t="shared" si="1" ref="F4:F41">-16.3889*D4</f>
        <v>-32.7778</v>
      </c>
      <c r="G4" s="50">
        <v>2</v>
      </c>
      <c r="H4" s="51"/>
      <c r="I4" s="52">
        <f aca="true" t="shared" si="2" ref="I4:I41">-15*G4</f>
        <v>-30</v>
      </c>
      <c r="J4" s="50">
        <v>2</v>
      </c>
      <c r="K4" s="51"/>
      <c r="L4" s="52">
        <f aca="true" t="shared" si="3" ref="L4:L41">-12.5*J4</f>
        <v>-25</v>
      </c>
      <c r="M4" s="50">
        <v>2</v>
      </c>
      <c r="N4" s="51">
        <v>300</v>
      </c>
      <c r="O4" s="52">
        <f aca="true" t="shared" si="4" ref="O4:O41">-18.75*M4</f>
        <v>-37.5</v>
      </c>
      <c r="P4" s="87">
        <v>1</v>
      </c>
      <c r="Q4" s="96"/>
      <c r="R4" s="52">
        <f>-12.6087*P4-10</f>
        <v>-22.6087</v>
      </c>
      <c r="S4" s="54"/>
      <c r="T4" s="53"/>
      <c r="U4" s="76">
        <f t="shared" si="0"/>
        <v>220.1355900000001</v>
      </c>
      <c r="W4" s="86"/>
    </row>
    <row r="5" spans="1:23" ht="12.75">
      <c r="A5" s="2">
        <v>3</v>
      </c>
      <c r="B5" s="77" t="s">
        <v>58</v>
      </c>
      <c r="C5" s="49">
        <f>'2014年4月'!U5</f>
        <v>-4.54340999999998</v>
      </c>
      <c r="D5" s="50">
        <v>1</v>
      </c>
      <c r="E5" s="51"/>
      <c r="F5" s="52">
        <f t="shared" si="1"/>
        <v>-16.3889</v>
      </c>
      <c r="G5" s="50">
        <v>1</v>
      </c>
      <c r="H5" s="51">
        <v>200</v>
      </c>
      <c r="I5" s="52">
        <f t="shared" si="2"/>
        <v>-15</v>
      </c>
      <c r="J5" s="50">
        <v>1</v>
      </c>
      <c r="K5" s="51"/>
      <c r="L5" s="52">
        <f t="shared" si="3"/>
        <v>-12.5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aca="true" t="shared" si="5" ref="R5:R41">-12.6087*P5</f>
        <v>-12.6087</v>
      </c>
      <c r="S5" s="50"/>
      <c r="T5" s="53"/>
      <c r="U5" s="76">
        <f t="shared" si="0"/>
        <v>120.20899000000003</v>
      </c>
      <c r="W5" s="86"/>
    </row>
    <row r="6" spans="1:23" ht="12.75">
      <c r="A6" s="2">
        <v>4</v>
      </c>
      <c r="B6" s="110">
        <v>9631</v>
      </c>
      <c r="C6" s="55">
        <f>'2014年4月'!U6</f>
        <v>20.80008999999999</v>
      </c>
      <c r="D6" s="60">
        <v>1</v>
      </c>
      <c r="E6" s="57"/>
      <c r="F6" s="58">
        <f t="shared" si="1"/>
        <v>-16.3889</v>
      </c>
      <c r="G6" s="60">
        <v>1</v>
      </c>
      <c r="H6" s="57"/>
      <c r="I6" s="58">
        <f t="shared" si="2"/>
        <v>-15</v>
      </c>
      <c r="J6" s="60">
        <v>1</v>
      </c>
      <c r="K6" s="57"/>
      <c r="L6" s="58">
        <f>-12.5*J6</f>
        <v>-12.5</v>
      </c>
      <c r="M6" s="60">
        <v>1</v>
      </c>
      <c r="N6" s="57">
        <v>100</v>
      </c>
      <c r="O6" s="58">
        <f t="shared" si="4"/>
        <v>-18.75</v>
      </c>
      <c r="P6" s="88">
        <v>1</v>
      </c>
      <c r="Q6" s="97"/>
      <c r="R6" s="58">
        <f t="shared" si="5"/>
        <v>-12.6087</v>
      </c>
      <c r="S6" s="60"/>
      <c r="T6" s="59"/>
      <c r="U6" s="76">
        <f t="shared" si="0"/>
        <v>45.55248999999999</v>
      </c>
      <c r="W6" s="86"/>
    </row>
    <row r="7" spans="1:23" ht="12.75">
      <c r="A7" s="2">
        <v>5</v>
      </c>
      <c r="B7" s="78" t="s">
        <v>95</v>
      </c>
      <c r="C7" s="55">
        <f>'2014年4月'!U7</f>
        <v>90.36769000000005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-12.5</v>
      </c>
      <c r="M7" s="56">
        <v>1</v>
      </c>
      <c r="N7" s="57"/>
      <c r="O7" s="58">
        <f t="shared" si="4"/>
        <v>-18.75</v>
      </c>
      <c r="P7" s="89">
        <v>1</v>
      </c>
      <c r="Q7" s="98"/>
      <c r="R7" s="58">
        <f t="shared" si="5"/>
        <v>-12.6087</v>
      </c>
      <c r="S7" s="56"/>
      <c r="T7" s="59"/>
      <c r="U7" s="76">
        <f t="shared" si="0"/>
        <v>46.508990000000054</v>
      </c>
      <c r="W7" s="86"/>
    </row>
    <row r="8" spans="1:23" ht="12.75">
      <c r="A8" s="2">
        <v>6</v>
      </c>
      <c r="B8" s="78" t="s">
        <v>60</v>
      </c>
      <c r="C8" s="55">
        <f>'2014年4月'!U8</f>
        <v>115.63679000000005</v>
      </c>
      <c r="D8" s="56">
        <v>1</v>
      </c>
      <c r="E8" s="57"/>
      <c r="F8" s="58">
        <f t="shared" si="1"/>
        <v>-16.3889</v>
      </c>
      <c r="G8" s="56">
        <v>1</v>
      </c>
      <c r="H8" s="57"/>
      <c r="I8" s="58">
        <f t="shared" si="2"/>
        <v>-15</v>
      </c>
      <c r="J8" s="56">
        <v>1</v>
      </c>
      <c r="K8" s="57"/>
      <c r="L8" s="58">
        <f t="shared" si="3"/>
        <v>-12.5</v>
      </c>
      <c r="M8" s="56">
        <v>1</v>
      </c>
      <c r="N8" s="57"/>
      <c r="O8" s="58">
        <f t="shared" si="4"/>
        <v>-18.75</v>
      </c>
      <c r="P8" s="89">
        <v>1</v>
      </c>
      <c r="Q8" s="98"/>
      <c r="R8" s="58">
        <f t="shared" si="5"/>
        <v>-12.6087</v>
      </c>
      <c r="S8" s="60"/>
      <c r="T8" s="59"/>
      <c r="U8" s="76">
        <f t="shared" si="0"/>
        <v>40.38919000000004</v>
      </c>
      <c r="W8" s="86"/>
    </row>
    <row r="9" spans="1:23" ht="12.75">
      <c r="A9" s="2">
        <v>7</v>
      </c>
      <c r="B9" s="109" t="s">
        <v>61</v>
      </c>
      <c r="C9" s="67">
        <f>'2014年4月'!U9</f>
        <v>-4.113609999999998</v>
      </c>
      <c r="D9" s="68">
        <v>1</v>
      </c>
      <c r="E9" s="69"/>
      <c r="F9" s="70">
        <f t="shared" si="1"/>
        <v>-16.3889</v>
      </c>
      <c r="G9" s="68">
        <v>1</v>
      </c>
      <c r="H9" s="69">
        <v>100</v>
      </c>
      <c r="I9" s="70">
        <f t="shared" si="2"/>
        <v>-15</v>
      </c>
      <c r="J9" s="68">
        <v>1</v>
      </c>
      <c r="K9" s="69"/>
      <c r="L9" s="70">
        <f t="shared" si="3"/>
        <v>-12.5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-12.6087</v>
      </c>
      <c r="S9" s="68"/>
      <c r="T9" s="71"/>
      <c r="U9" s="76">
        <f t="shared" si="0"/>
        <v>39.38879</v>
      </c>
      <c r="W9" s="86"/>
    </row>
    <row r="10" spans="1:23" ht="12.75">
      <c r="A10" s="2">
        <v>8</v>
      </c>
      <c r="B10" s="81" t="s">
        <v>96</v>
      </c>
      <c r="C10" s="67">
        <f>'2014年4月'!U10</f>
        <v>51.47389000000007</v>
      </c>
      <c r="D10" s="72">
        <v>1</v>
      </c>
      <c r="E10" s="69"/>
      <c r="F10" s="70">
        <f t="shared" si="1"/>
        <v>-16.3889</v>
      </c>
      <c r="G10" s="72">
        <v>1</v>
      </c>
      <c r="H10" s="69">
        <v>200</v>
      </c>
      <c r="I10" s="70">
        <f t="shared" si="2"/>
        <v>-15</v>
      </c>
      <c r="J10" s="72">
        <v>1</v>
      </c>
      <c r="K10" s="69"/>
      <c r="L10" s="70">
        <f t="shared" si="3"/>
        <v>-12.5</v>
      </c>
      <c r="M10" s="72"/>
      <c r="N10" s="69"/>
      <c r="O10" s="70">
        <f t="shared" si="4"/>
        <v>0</v>
      </c>
      <c r="P10" s="91"/>
      <c r="Q10" s="100"/>
      <c r="R10" s="70">
        <f t="shared" si="5"/>
        <v>0</v>
      </c>
      <c r="S10" s="72"/>
      <c r="T10" s="71"/>
      <c r="U10" s="76">
        <f t="shared" si="0"/>
        <v>207.58499000000006</v>
      </c>
      <c r="W10" s="86"/>
    </row>
    <row r="11" spans="1:23" ht="12.75">
      <c r="A11" s="2">
        <v>9</v>
      </c>
      <c r="B11" s="109" t="s">
        <v>63</v>
      </c>
      <c r="C11" s="67">
        <f>'2014年4月'!U11</f>
        <v>55.83479000000006</v>
      </c>
      <c r="D11" s="68">
        <v>1</v>
      </c>
      <c r="E11" s="69"/>
      <c r="F11" s="70">
        <f t="shared" si="1"/>
        <v>-16.3889</v>
      </c>
      <c r="G11" s="68">
        <v>1</v>
      </c>
      <c r="H11" s="69"/>
      <c r="I11" s="70">
        <f t="shared" si="2"/>
        <v>-15</v>
      </c>
      <c r="J11" s="68">
        <v>1</v>
      </c>
      <c r="K11" s="69"/>
      <c r="L11" s="70">
        <f t="shared" si="3"/>
        <v>-12.5</v>
      </c>
      <c r="M11" s="68"/>
      <c r="N11" s="69"/>
      <c r="O11" s="70">
        <f t="shared" si="4"/>
        <v>0</v>
      </c>
      <c r="P11" s="90">
        <v>1</v>
      </c>
      <c r="Q11" s="99"/>
      <c r="R11" s="70">
        <f t="shared" si="5"/>
        <v>-12.6087</v>
      </c>
      <c r="S11" s="68"/>
      <c r="T11" s="71"/>
      <c r="U11" s="76">
        <f t="shared" si="0"/>
        <v>-0.6628099999999382</v>
      </c>
      <c r="W11" s="86"/>
    </row>
    <row r="12" spans="1:23" ht="12.75">
      <c r="A12" s="2">
        <v>10</v>
      </c>
      <c r="B12" s="79" t="s">
        <v>193</v>
      </c>
      <c r="C12" s="61">
        <f>'2014年4月'!U12</f>
        <v>30.47028999999999</v>
      </c>
      <c r="D12" s="62">
        <v>1</v>
      </c>
      <c r="E12" s="63"/>
      <c r="F12" s="64">
        <f t="shared" si="1"/>
        <v>-16.3889</v>
      </c>
      <c r="G12" s="62"/>
      <c r="H12" s="63"/>
      <c r="I12" s="64">
        <f t="shared" si="2"/>
        <v>0</v>
      </c>
      <c r="J12" s="62">
        <v>1</v>
      </c>
      <c r="K12" s="63">
        <v>100</v>
      </c>
      <c r="L12" s="64">
        <f t="shared" si="3"/>
        <v>-12.5</v>
      </c>
      <c r="M12" s="62">
        <v>1</v>
      </c>
      <c r="N12" s="63"/>
      <c r="O12" s="64">
        <f t="shared" si="4"/>
        <v>-18.75</v>
      </c>
      <c r="P12" s="92">
        <v>1</v>
      </c>
      <c r="Q12" s="101"/>
      <c r="R12" s="64">
        <f t="shared" si="5"/>
        <v>-12.6087</v>
      </c>
      <c r="S12" s="62"/>
      <c r="T12" s="66"/>
      <c r="U12" s="76">
        <f t="shared" si="0"/>
        <v>70.22269</v>
      </c>
      <c r="W12" s="86"/>
    </row>
    <row r="13" spans="1:23" ht="12.75">
      <c r="A13" s="2">
        <v>11</v>
      </c>
      <c r="B13" s="79" t="s">
        <v>65</v>
      </c>
      <c r="C13" s="61">
        <f>'2014年4月'!U13</f>
        <v>57.323490000000014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-12.5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-12.6087</v>
      </c>
      <c r="S13" s="65"/>
      <c r="T13" s="66"/>
      <c r="U13" s="76">
        <f t="shared" si="0"/>
        <v>32.214790000000015</v>
      </c>
      <c r="W13" s="86"/>
    </row>
    <row r="14" spans="1:23" ht="12.75">
      <c r="A14" s="2">
        <v>12</v>
      </c>
      <c r="B14" s="79" t="s">
        <v>66</v>
      </c>
      <c r="C14" s="61">
        <f>'2014年4月'!U14</f>
        <v>39.247490000000006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39.247490000000006</v>
      </c>
      <c r="W14" s="86"/>
    </row>
    <row r="15" spans="1:23" ht="12.75">
      <c r="A15" s="2">
        <v>13</v>
      </c>
      <c r="B15" s="80" t="s">
        <v>67</v>
      </c>
      <c r="C15" s="43">
        <f>'2014年4月'!U15</f>
        <v>89.89969000000006</v>
      </c>
      <c r="D15" s="44">
        <v>1</v>
      </c>
      <c r="E15" s="45"/>
      <c r="F15" s="46">
        <f t="shared" si="1"/>
        <v>-16.3889</v>
      </c>
      <c r="G15" s="44">
        <v>1</v>
      </c>
      <c r="H15" s="45"/>
      <c r="I15" s="46">
        <f t="shared" si="2"/>
        <v>-15</v>
      </c>
      <c r="J15" s="44">
        <v>1</v>
      </c>
      <c r="K15" s="45"/>
      <c r="L15" s="46">
        <f t="shared" si="3"/>
        <v>-12.5</v>
      </c>
      <c r="M15" s="44"/>
      <c r="N15" s="45"/>
      <c r="O15" s="46">
        <f t="shared" si="4"/>
        <v>0</v>
      </c>
      <c r="P15" s="93">
        <v>1</v>
      </c>
      <c r="Q15" s="102">
        <v>100</v>
      </c>
      <c r="R15" s="46">
        <f t="shared" si="5"/>
        <v>-12.6087</v>
      </c>
      <c r="S15" s="48"/>
      <c r="T15" s="47"/>
      <c r="U15" s="76">
        <f t="shared" si="0"/>
        <v>133.40209000000007</v>
      </c>
      <c r="W15" s="86"/>
    </row>
    <row r="16" spans="1:23" ht="12.75">
      <c r="A16" s="2">
        <v>14</v>
      </c>
      <c r="B16" s="80" t="s">
        <v>53</v>
      </c>
      <c r="C16" s="43">
        <f>'2014年4月'!U16</f>
        <v>-16.782509999999988</v>
      </c>
      <c r="D16" s="44"/>
      <c r="E16" s="45"/>
      <c r="F16" s="46">
        <f t="shared" si="1"/>
        <v>0</v>
      </c>
      <c r="G16" s="44">
        <v>1</v>
      </c>
      <c r="H16" s="45"/>
      <c r="I16" s="46">
        <f t="shared" si="2"/>
        <v>-15</v>
      </c>
      <c r="J16" s="44">
        <v>1</v>
      </c>
      <c r="K16" s="45">
        <v>100</v>
      </c>
      <c r="L16" s="46">
        <f t="shared" si="3"/>
        <v>-12.5</v>
      </c>
      <c r="M16" s="44">
        <v>1</v>
      </c>
      <c r="N16" s="45"/>
      <c r="O16" s="46">
        <f t="shared" si="4"/>
        <v>-18.75</v>
      </c>
      <c r="P16" s="93">
        <v>1</v>
      </c>
      <c r="Q16" s="102"/>
      <c r="R16" s="46">
        <f t="shared" si="5"/>
        <v>-12.6087</v>
      </c>
      <c r="S16" s="44"/>
      <c r="T16" s="47"/>
      <c r="U16" s="76">
        <f t="shared" si="0"/>
        <v>24.358790000000013</v>
      </c>
      <c r="W16" s="86"/>
    </row>
    <row r="17" spans="1:23" ht="12.75">
      <c r="A17" s="2">
        <v>15</v>
      </c>
      <c r="B17" s="80" t="s">
        <v>94</v>
      </c>
      <c r="C17" s="43">
        <f>'2014年4月'!U17</f>
        <v>44.79809000000002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>
        <v>1</v>
      </c>
      <c r="K17" s="45"/>
      <c r="L17" s="46">
        <f t="shared" si="3"/>
        <v>-12.5</v>
      </c>
      <c r="M17" s="44"/>
      <c r="N17" s="45"/>
      <c r="O17" s="46">
        <f t="shared" si="4"/>
        <v>0</v>
      </c>
      <c r="P17" s="93">
        <v>1</v>
      </c>
      <c r="Q17" s="102"/>
      <c r="R17" s="46">
        <f t="shared" si="5"/>
        <v>-12.6087</v>
      </c>
      <c r="S17" s="48"/>
      <c r="T17" s="47"/>
      <c r="U17" s="76">
        <f t="shared" si="0"/>
        <v>19.689390000000024</v>
      </c>
      <c r="W17" s="86"/>
    </row>
    <row r="18" spans="1:23" ht="12.75">
      <c r="A18" s="2">
        <v>16</v>
      </c>
      <c r="B18" s="77" t="s">
        <v>182</v>
      </c>
      <c r="C18" s="49">
        <f>'2014年4月'!U18</f>
        <v>22.510090000000012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22.510090000000012</v>
      </c>
      <c r="W18" s="86"/>
    </row>
    <row r="19" spans="1:23" ht="12.75">
      <c r="A19" s="2">
        <v>17</v>
      </c>
      <c r="B19" s="77" t="s">
        <v>69</v>
      </c>
      <c r="C19" s="49">
        <f>'2014年4月'!U19</f>
        <v>-11.957709999999937</v>
      </c>
      <c r="D19" s="50">
        <v>1</v>
      </c>
      <c r="E19" s="51">
        <v>100</v>
      </c>
      <c r="F19" s="52">
        <f>-16.3889*D19-5</f>
        <v>-21.3889</v>
      </c>
      <c r="G19" s="50">
        <v>1</v>
      </c>
      <c r="H19" s="51"/>
      <c r="I19" s="52">
        <f t="shared" si="2"/>
        <v>-15</v>
      </c>
      <c r="J19" s="50">
        <v>1</v>
      </c>
      <c r="K19" s="51"/>
      <c r="L19" s="52">
        <f t="shared" si="3"/>
        <v>-12.5</v>
      </c>
      <c r="M19" s="50">
        <v>1</v>
      </c>
      <c r="N19" s="51"/>
      <c r="O19" s="52">
        <f t="shared" si="4"/>
        <v>-18.75</v>
      </c>
      <c r="P19" s="87">
        <v>1</v>
      </c>
      <c r="Q19" s="96"/>
      <c r="R19" s="52">
        <f t="shared" si="5"/>
        <v>-12.6087</v>
      </c>
      <c r="S19" s="54"/>
      <c r="T19" s="53"/>
      <c r="U19" s="76">
        <f t="shared" si="0"/>
        <v>7.794690000000058</v>
      </c>
      <c r="W19" s="86"/>
    </row>
    <row r="20" spans="1:23" ht="12.75">
      <c r="A20" s="2">
        <v>18</v>
      </c>
      <c r="B20" s="77" t="s">
        <v>97</v>
      </c>
      <c r="C20" s="49">
        <f>'2014年4月'!U20</f>
        <v>-6.895709999999999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-6.895709999999999</v>
      </c>
      <c r="W20" s="86"/>
    </row>
    <row r="21" spans="1:23" ht="12.75">
      <c r="A21" s="2">
        <v>19</v>
      </c>
      <c r="B21" s="78" t="s">
        <v>169</v>
      </c>
      <c r="C21" s="55">
        <f>'2014年4月'!U21</f>
        <v>-19.63800999999998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>-12.5*J21</f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-19.63800999999998</v>
      </c>
      <c r="W21" s="86"/>
    </row>
    <row r="22" spans="1:23" ht="12.75">
      <c r="A22" s="2">
        <v>20</v>
      </c>
      <c r="B22" s="78" t="s">
        <v>72</v>
      </c>
      <c r="C22" s="55">
        <f>'2014年4月'!U22</f>
        <v>141.68129</v>
      </c>
      <c r="D22" s="56">
        <v>1</v>
      </c>
      <c r="E22" s="57"/>
      <c r="F22" s="58">
        <f t="shared" si="1"/>
        <v>-16.3889</v>
      </c>
      <c r="G22" s="56">
        <v>1</v>
      </c>
      <c r="H22" s="57"/>
      <c r="I22" s="58">
        <f t="shared" si="2"/>
        <v>-15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-12.6087</v>
      </c>
      <c r="S22" s="56"/>
      <c r="T22" s="59"/>
      <c r="U22" s="76">
        <f t="shared" si="0"/>
        <v>97.68368999999998</v>
      </c>
      <c r="W22" s="86"/>
    </row>
    <row r="23" spans="1:23" ht="12.75">
      <c r="A23" s="2">
        <v>21</v>
      </c>
      <c r="B23" s="78" t="s">
        <v>73</v>
      </c>
      <c r="C23" s="55">
        <f>'2014年4月'!U23</f>
        <v>180.4452899999999</v>
      </c>
      <c r="D23" s="56">
        <v>1</v>
      </c>
      <c r="E23" s="57"/>
      <c r="F23" s="58">
        <f t="shared" si="1"/>
        <v>-16.3889</v>
      </c>
      <c r="G23" s="56">
        <v>1</v>
      </c>
      <c r="H23" s="57"/>
      <c r="I23" s="58">
        <f t="shared" si="2"/>
        <v>-15</v>
      </c>
      <c r="J23" s="56">
        <v>1</v>
      </c>
      <c r="K23" s="57"/>
      <c r="L23" s="58">
        <f t="shared" si="3"/>
        <v>-12.5</v>
      </c>
      <c r="M23" s="56">
        <v>1</v>
      </c>
      <c r="N23" s="57"/>
      <c r="O23" s="58">
        <f t="shared" si="4"/>
        <v>-18.75</v>
      </c>
      <c r="P23" s="89">
        <v>1</v>
      </c>
      <c r="Q23" s="98"/>
      <c r="R23" s="58">
        <f t="shared" si="5"/>
        <v>-12.6087</v>
      </c>
      <c r="S23" s="60"/>
      <c r="T23" s="59"/>
      <c r="U23" s="76">
        <f t="shared" si="0"/>
        <v>105.19768999999988</v>
      </c>
      <c r="W23" s="86"/>
    </row>
    <row r="24" spans="1:23" ht="12.75">
      <c r="A24" s="2">
        <v>22</v>
      </c>
      <c r="B24" s="81" t="s">
        <v>74</v>
      </c>
      <c r="C24" s="67">
        <f>'2014年4月'!U24</f>
        <v>-11.644909999999923</v>
      </c>
      <c r="D24" s="68">
        <v>1</v>
      </c>
      <c r="E24" s="69"/>
      <c r="F24" s="70">
        <f t="shared" si="1"/>
        <v>-16.3889</v>
      </c>
      <c r="G24" s="68">
        <v>1</v>
      </c>
      <c r="H24" s="69">
        <v>100</v>
      </c>
      <c r="I24" s="70">
        <f t="shared" si="2"/>
        <v>-15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-12.6087</v>
      </c>
      <c r="S24" s="68"/>
      <c r="T24" s="71"/>
      <c r="U24" s="76">
        <f t="shared" si="0"/>
        <v>44.35749000000007</v>
      </c>
      <c r="W24" s="86"/>
    </row>
    <row r="25" spans="1:23" ht="12.75">
      <c r="A25" s="2">
        <v>23</v>
      </c>
      <c r="B25" s="81" t="s">
        <v>75</v>
      </c>
      <c r="C25" s="67">
        <f>'2014年4月'!U25</f>
        <v>14.028089999999992</v>
      </c>
      <c r="D25" s="68">
        <v>1</v>
      </c>
      <c r="E25" s="69"/>
      <c r="F25" s="70">
        <f t="shared" si="1"/>
        <v>-16.3889</v>
      </c>
      <c r="G25" s="68">
        <v>1</v>
      </c>
      <c r="H25" s="69">
        <v>200</v>
      </c>
      <c r="I25" s="70">
        <f t="shared" si="2"/>
        <v>-15</v>
      </c>
      <c r="J25" s="68">
        <v>1</v>
      </c>
      <c r="K25" s="69"/>
      <c r="L25" s="70">
        <f t="shared" si="3"/>
        <v>-12.5</v>
      </c>
      <c r="M25" s="68">
        <v>1</v>
      </c>
      <c r="N25" s="69"/>
      <c r="O25" s="70">
        <f t="shared" si="4"/>
        <v>-18.75</v>
      </c>
      <c r="P25" s="90">
        <v>1</v>
      </c>
      <c r="Q25" s="99"/>
      <c r="R25" s="70">
        <f t="shared" si="5"/>
        <v>-12.6087</v>
      </c>
      <c r="S25" s="68"/>
      <c r="T25" s="71"/>
      <c r="U25" s="76">
        <f t="shared" si="0"/>
        <v>138.78049</v>
      </c>
      <c r="W25" s="86"/>
    </row>
    <row r="26" spans="1:23" ht="12.75">
      <c r="A26" s="2">
        <v>24</v>
      </c>
      <c r="B26" s="81" t="s">
        <v>92</v>
      </c>
      <c r="C26" s="67">
        <f>'2014年4月'!U26</f>
        <v>-65.11980999999994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>
        <v>1</v>
      </c>
      <c r="K26" s="69"/>
      <c r="L26" s="70">
        <f t="shared" si="3"/>
        <v>-12.5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-77.61980999999994</v>
      </c>
      <c r="W26" s="86"/>
    </row>
    <row r="27" spans="1:23" ht="12.75">
      <c r="A27" s="2">
        <v>25</v>
      </c>
      <c r="B27" s="79" t="s">
        <v>98</v>
      </c>
      <c r="C27" s="61">
        <f>'2014年4月'!U27</f>
        <v>4.326289999999993</v>
      </c>
      <c r="D27" s="62"/>
      <c r="E27" s="73"/>
      <c r="F27" s="64">
        <f t="shared" si="1"/>
        <v>0</v>
      </c>
      <c r="G27" s="62"/>
      <c r="H27" s="73"/>
      <c r="I27" s="64">
        <f t="shared" si="2"/>
        <v>0</v>
      </c>
      <c r="J27" s="62">
        <v>1</v>
      </c>
      <c r="K27" s="73">
        <v>100</v>
      </c>
      <c r="L27" s="64">
        <f t="shared" si="3"/>
        <v>-12.5</v>
      </c>
      <c r="M27" s="62">
        <v>1</v>
      </c>
      <c r="N27" s="73"/>
      <c r="O27" s="64">
        <f t="shared" si="4"/>
        <v>-18.75</v>
      </c>
      <c r="P27" s="92">
        <v>1</v>
      </c>
      <c r="Q27" s="101"/>
      <c r="R27" s="64">
        <f t="shared" si="5"/>
        <v>-12.6087</v>
      </c>
      <c r="S27" s="62"/>
      <c r="T27" s="66"/>
      <c r="U27" s="76">
        <f t="shared" si="0"/>
        <v>60.46759</v>
      </c>
      <c r="W27" s="86"/>
    </row>
    <row r="28" spans="1:23" ht="12.75">
      <c r="A28" s="2">
        <v>26</v>
      </c>
      <c r="B28" s="79" t="s">
        <v>99</v>
      </c>
      <c r="C28" s="61">
        <f>'2014年4月'!U28</f>
        <v>26.476290000000084</v>
      </c>
      <c r="D28" s="65"/>
      <c r="E28" s="73"/>
      <c r="F28" s="64">
        <f t="shared" si="1"/>
        <v>0</v>
      </c>
      <c r="G28" s="65">
        <v>1</v>
      </c>
      <c r="H28" s="73"/>
      <c r="I28" s="64">
        <f t="shared" si="2"/>
        <v>-15</v>
      </c>
      <c r="J28" s="65">
        <v>1</v>
      </c>
      <c r="K28" s="73">
        <v>300</v>
      </c>
      <c r="L28" s="64">
        <f t="shared" si="3"/>
        <v>-12.5</v>
      </c>
      <c r="M28" s="65"/>
      <c r="N28" s="73"/>
      <c r="O28" s="64">
        <f t="shared" si="4"/>
        <v>0</v>
      </c>
      <c r="P28" s="94">
        <v>1</v>
      </c>
      <c r="Q28" s="103"/>
      <c r="R28" s="64">
        <f t="shared" si="5"/>
        <v>-12.6087</v>
      </c>
      <c r="S28" s="65"/>
      <c r="T28" s="66"/>
      <c r="U28" s="76">
        <f t="shared" si="0"/>
        <v>286.36759000000006</v>
      </c>
      <c r="W28" s="86"/>
    </row>
    <row r="29" spans="1:23" ht="12.75">
      <c r="A29" s="2">
        <v>27</v>
      </c>
      <c r="B29" s="79" t="s">
        <v>100</v>
      </c>
      <c r="C29" s="61">
        <f>'2014年4月'!U29</f>
        <v>169.00558999999998</v>
      </c>
      <c r="D29" s="62">
        <v>1</v>
      </c>
      <c r="E29" s="63"/>
      <c r="F29" s="64">
        <f t="shared" si="1"/>
        <v>-16.3889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-12.5</v>
      </c>
      <c r="M29" s="62">
        <v>1</v>
      </c>
      <c r="N29" s="63"/>
      <c r="O29" s="64">
        <f t="shared" si="4"/>
        <v>-18.75</v>
      </c>
      <c r="P29" s="92"/>
      <c r="Q29" s="101"/>
      <c r="R29" s="64">
        <f t="shared" si="5"/>
        <v>0</v>
      </c>
      <c r="S29" s="62"/>
      <c r="T29" s="66"/>
      <c r="U29" s="76">
        <f t="shared" si="0"/>
        <v>121.36668999999998</v>
      </c>
      <c r="W29" s="86"/>
    </row>
    <row r="30" spans="1:23" ht="12.75">
      <c r="A30" s="2">
        <v>28</v>
      </c>
      <c r="B30" s="80" t="s">
        <v>80</v>
      </c>
      <c r="C30" s="43">
        <f>'2014年4月'!U30</f>
        <v>78.85790000000003</v>
      </c>
      <c r="D30" s="48"/>
      <c r="E30" s="74"/>
      <c r="F30" s="46">
        <f t="shared" si="1"/>
        <v>0</v>
      </c>
      <c r="G30" s="48">
        <v>1</v>
      </c>
      <c r="H30" s="74"/>
      <c r="I30" s="46">
        <f t="shared" si="2"/>
        <v>-15</v>
      </c>
      <c r="J30" s="48">
        <v>1</v>
      </c>
      <c r="K30" s="74"/>
      <c r="L30" s="46">
        <f t="shared" si="3"/>
        <v>-12.5</v>
      </c>
      <c r="M30" s="48"/>
      <c r="N30" s="74"/>
      <c r="O30" s="46">
        <f t="shared" si="4"/>
        <v>0</v>
      </c>
      <c r="P30" s="95">
        <v>1</v>
      </c>
      <c r="Q30" s="104"/>
      <c r="R30" s="46">
        <f t="shared" si="5"/>
        <v>-12.6087</v>
      </c>
      <c r="S30" s="48"/>
      <c r="T30" s="47"/>
      <c r="U30" s="76">
        <f t="shared" si="0"/>
        <v>38.74920000000003</v>
      </c>
      <c r="V30" s="28"/>
      <c r="W30" s="86"/>
    </row>
    <row r="31" spans="1:23" ht="12.75">
      <c r="A31" s="2">
        <v>29</v>
      </c>
      <c r="B31" s="80" t="s">
        <v>52</v>
      </c>
      <c r="C31" s="43">
        <f>'2014年4月'!U31</f>
        <v>-9.443209999999992</v>
      </c>
      <c r="D31" s="44">
        <v>1</v>
      </c>
      <c r="E31" s="74">
        <v>100</v>
      </c>
      <c r="F31" s="46">
        <f t="shared" si="1"/>
        <v>-16.3889</v>
      </c>
      <c r="G31" s="44">
        <v>1</v>
      </c>
      <c r="H31" s="74"/>
      <c r="I31" s="46">
        <f t="shared" si="2"/>
        <v>-15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-18.75</v>
      </c>
      <c r="P31" s="93">
        <v>1</v>
      </c>
      <c r="Q31" s="102"/>
      <c r="R31" s="46">
        <f t="shared" si="5"/>
        <v>-12.6087</v>
      </c>
      <c r="S31" s="44"/>
      <c r="T31" s="47"/>
      <c r="U31" s="76">
        <f t="shared" si="0"/>
        <v>27.80919</v>
      </c>
      <c r="W31" s="86"/>
    </row>
    <row r="32" spans="1:23" ht="12.75">
      <c r="A32" s="2">
        <v>30</v>
      </c>
      <c r="B32" s="80" t="s">
        <v>170</v>
      </c>
      <c r="C32" s="43">
        <f>'2014年4月'!U32</f>
        <v>8.774690000000014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8.774690000000014</v>
      </c>
      <c r="W32" s="86"/>
    </row>
    <row r="33" spans="1:23" ht="12.75">
      <c r="A33" s="2">
        <v>31</v>
      </c>
      <c r="B33" s="77" t="s">
        <v>104</v>
      </c>
      <c r="C33" s="49">
        <f>'2014年4月'!U33</f>
        <v>139.74679</v>
      </c>
      <c r="D33" s="50">
        <v>1</v>
      </c>
      <c r="E33" s="51"/>
      <c r="F33" s="52">
        <f t="shared" si="1"/>
        <v>-16.3889</v>
      </c>
      <c r="G33" s="50">
        <v>1</v>
      </c>
      <c r="H33" s="51"/>
      <c r="I33" s="52">
        <f t="shared" si="2"/>
        <v>-15</v>
      </c>
      <c r="J33" s="50">
        <v>1</v>
      </c>
      <c r="K33" s="51"/>
      <c r="L33" s="52">
        <f t="shared" si="3"/>
        <v>-12.5</v>
      </c>
      <c r="M33" s="50">
        <v>1</v>
      </c>
      <c r="N33" s="51"/>
      <c r="O33" s="52">
        <f t="shared" si="4"/>
        <v>-18.75</v>
      </c>
      <c r="P33" s="87">
        <v>1</v>
      </c>
      <c r="Q33" s="96"/>
      <c r="R33" s="52">
        <f t="shared" si="5"/>
        <v>-12.6087</v>
      </c>
      <c r="S33" s="50"/>
      <c r="T33" s="53"/>
      <c r="U33" s="76">
        <f t="shared" si="0"/>
        <v>64.49919</v>
      </c>
      <c r="W33" s="86"/>
    </row>
    <row r="34" spans="1:23" ht="12.75">
      <c r="A34" s="2">
        <v>32</v>
      </c>
      <c r="B34" s="77" t="s">
        <v>190</v>
      </c>
      <c r="C34" s="49">
        <f>'2014年4月'!U34</f>
        <v>66.57249000000002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66.57249000000002</v>
      </c>
      <c r="W34" s="86"/>
    </row>
    <row r="35" spans="1:23" ht="12.75">
      <c r="A35" s="2">
        <v>33</v>
      </c>
      <c r="B35" s="77" t="s">
        <v>207</v>
      </c>
      <c r="C35" s="49">
        <f>'2014年4月'!U35</f>
        <v>39.84279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39.84279</v>
      </c>
      <c r="W35" s="86"/>
    </row>
    <row r="36" spans="1:23" ht="12.75">
      <c r="A36" s="2">
        <v>34</v>
      </c>
      <c r="B36" s="78" t="s">
        <v>101</v>
      </c>
      <c r="C36" s="55">
        <f>'2014年4月'!U36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>-12.5*J36</f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'2014年4月'!U37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'2014年4月'!U38</f>
        <v>78.42869000000002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78.42869000000002</v>
      </c>
      <c r="W38" s="86"/>
    </row>
    <row r="39" spans="1:23" ht="12.75">
      <c r="A39" s="2">
        <v>37</v>
      </c>
      <c r="B39" s="81" t="s">
        <v>200</v>
      </c>
      <c r="C39" s="67">
        <f>'2014年4月'!U39</f>
        <v>92.59469999999999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92.59469999999999</v>
      </c>
      <c r="W39" s="86"/>
    </row>
    <row r="40" spans="1:23" ht="12.75">
      <c r="A40" s="2">
        <v>38</v>
      </c>
      <c r="B40" s="81"/>
      <c r="C40" s="67">
        <f>'2014年4月'!U40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'2014年4月'!U41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18</v>
      </c>
      <c r="F43" s="1">
        <f>E54/D43</f>
        <v>16.38888888888889</v>
      </c>
      <c r="G43" s="1">
        <f>SUM(G3:G41)</f>
        <v>20</v>
      </c>
      <c r="I43" s="1">
        <f>H54/G43</f>
        <v>15</v>
      </c>
      <c r="J43" s="1">
        <f>SUM(J3:J41)</f>
        <v>24</v>
      </c>
      <c r="L43" s="1">
        <f>K54/J43</f>
        <v>12.5</v>
      </c>
      <c r="M43" s="1">
        <f>SUM(M3:M41)</f>
        <v>16</v>
      </c>
      <c r="O43" s="1">
        <f>N54/M43</f>
        <v>18.75</v>
      </c>
      <c r="P43" s="1">
        <f>SUM(P3:P41)</f>
        <v>23</v>
      </c>
      <c r="R43" s="1">
        <f>Q54/P43</f>
        <v>12.608695652173912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-300.0002</v>
      </c>
      <c r="H45" s="28" t="s">
        <v>84</v>
      </c>
      <c r="I45" s="1">
        <f>SUM(I3:I41)</f>
        <v>-300</v>
      </c>
      <c r="K45" s="28" t="s">
        <v>84</v>
      </c>
      <c r="L45" s="1">
        <f>SUM(L3:L41)</f>
        <v>-300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-300.0001</v>
      </c>
      <c r="U45" s="19"/>
    </row>
    <row r="46" spans="2:21" ht="12.75">
      <c r="B46" s="29" t="s">
        <v>85</v>
      </c>
      <c r="C46" s="27">
        <f>SUM(C3:C41)</f>
        <v>1699.9996700000002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2399.9993700000005</v>
      </c>
      <c r="W47" s="86">
        <f>U47</f>
        <v>2399.9993700000005</v>
      </c>
    </row>
    <row r="48" spans="2:20" ht="12.75" customHeight="1">
      <c r="B48" s="86"/>
      <c r="D48" s="117" t="s">
        <v>272</v>
      </c>
      <c r="E48" s="118"/>
      <c r="F48" s="119"/>
      <c r="G48" s="117" t="s">
        <v>273</v>
      </c>
      <c r="H48" s="118"/>
      <c r="I48" s="119"/>
      <c r="J48" s="117" t="s">
        <v>274</v>
      </c>
      <c r="K48" s="118"/>
      <c r="L48" s="119"/>
      <c r="M48" s="117" t="s">
        <v>111</v>
      </c>
      <c r="N48" s="118"/>
      <c r="O48" s="119"/>
      <c r="P48" s="117" t="s">
        <v>275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295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290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7" ht="12.75" customHeight="1">
      <c r="D70" s="82"/>
      <c r="G70" s="28"/>
      <c r="J70" s="82"/>
      <c r="M70" s="28"/>
      <c r="N70" s="28"/>
      <c r="P70" s="28" t="s">
        <v>191</v>
      </c>
      <c r="Q70" s="1">
        <v>10</v>
      </c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K72" s="28"/>
      <c r="N72" s="28"/>
      <c r="Q72" s="28">
        <f>SUM(Q70:Q71)</f>
        <v>10</v>
      </c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 t="s">
        <v>276</v>
      </c>
      <c r="E77" s="1">
        <v>5</v>
      </c>
      <c r="G77" s="105"/>
      <c r="J77" s="105"/>
      <c r="M77" s="105"/>
      <c r="P77" s="105"/>
    </row>
    <row r="81" ht="12.75">
      <c r="E81" s="1">
        <f>SUM(E77:E80)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25" sqref="Q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41805</v>
      </c>
      <c r="E1" s="126"/>
      <c r="F1" s="127"/>
      <c r="G1" s="16"/>
      <c r="H1" s="24">
        <v>41812</v>
      </c>
      <c r="I1" s="17"/>
      <c r="J1" s="30"/>
      <c r="K1" s="24">
        <v>41819</v>
      </c>
      <c r="L1" s="31"/>
      <c r="M1" s="16"/>
      <c r="N1" s="24">
        <v>41826</v>
      </c>
      <c r="O1" s="17"/>
      <c r="P1" s="16"/>
      <c r="Q1" s="24">
        <v>41833</v>
      </c>
      <c r="R1" s="17"/>
      <c r="S1" s="128" t="s">
        <v>282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'2014年5月'!U3</f>
        <v>107.49369000000003</v>
      </c>
      <c r="D3" s="50">
        <v>1</v>
      </c>
      <c r="E3" s="51"/>
      <c r="F3" s="52">
        <f>-13.6364*D3</f>
        <v>-13.6364</v>
      </c>
      <c r="G3" s="50">
        <v>1</v>
      </c>
      <c r="H3" s="51"/>
      <c r="I3" s="52">
        <f>-13.0435*G3</f>
        <v>-13.0435</v>
      </c>
      <c r="J3" s="50">
        <v>1</v>
      </c>
      <c r="K3" s="51"/>
      <c r="L3" s="52">
        <f>-14.2857*J3</f>
        <v>-14.2857</v>
      </c>
      <c r="M3" s="50">
        <v>1</v>
      </c>
      <c r="N3" s="51"/>
      <c r="O3" s="52">
        <f>-13.8095*M3</f>
        <v>-13.8095</v>
      </c>
      <c r="P3" s="87">
        <v>1</v>
      </c>
      <c r="Q3" s="96"/>
      <c r="R3" s="52">
        <f>-27.2727*(P3-1)</f>
        <v>0</v>
      </c>
      <c r="S3" s="50">
        <v>1</v>
      </c>
      <c r="T3" s="53">
        <f>-76*S3</f>
        <v>-76</v>
      </c>
      <c r="U3" s="76">
        <f aca="true" t="shared" si="0" ref="U3:U41">C3+E3+F3+H3+I3+K3+L3+N3+O3+T3+Q3+R3</f>
        <v>-23.281409999999966</v>
      </c>
      <c r="W3" s="86"/>
    </row>
    <row r="4" spans="1:23" ht="12.75">
      <c r="A4" s="2">
        <v>2</v>
      </c>
      <c r="B4" s="75" t="s">
        <v>3</v>
      </c>
      <c r="C4" s="49">
        <f>'2014年5月'!U4</f>
        <v>220.1355900000001</v>
      </c>
      <c r="D4" s="50">
        <v>2</v>
      </c>
      <c r="E4" s="51"/>
      <c r="F4" s="52">
        <f aca="true" t="shared" si="1" ref="F4:F41">-13.6364*D4</f>
        <v>-27.2728</v>
      </c>
      <c r="G4" s="50">
        <v>2</v>
      </c>
      <c r="H4" s="51"/>
      <c r="I4" s="52">
        <f aca="true" t="shared" si="2" ref="I4:I41">-13.0435*G4</f>
        <v>-26.087</v>
      </c>
      <c r="J4" s="50">
        <v>2</v>
      </c>
      <c r="K4" s="51"/>
      <c r="L4" s="52">
        <f aca="true" t="shared" si="3" ref="L4:L41">-14.2857*J4</f>
        <v>-28.5714</v>
      </c>
      <c r="M4" s="50">
        <v>2</v>
      </c>
      <c r="N4" s="51"/>
      <c r="O4" s="52">
        <f aca="true" t="shared" si="4" ref="O4:O41">-13.8095*M4</f>
        <v>-27.619</v>
      </c>
      <c r="P4" s="87">
        <v>2</v>
      </c>
      <c r="Q4" s="96"/>
      <c r="R4" s="52">
        <f aca="true" t="shared" si="5" ref="R4:R41">-27.2727*P4</f>
        <v>-54.5454</v>
      </c>
      <c r="S4" s="54">
        <v>1</v>
      </c>
      <c r="T4" s="53">
        <f>-76*S4</f>
        <v>-76</v>
      </c>
      <c r="U4" s="76">
        <f t="shared" si="0"/>
        <v>-19.960009999999897</v>
      </c>
      <c r="W4" s="86"/>
    </row>
    <row r="5" spans="1:23" ht="12.75">
      <c r="A5" s="2">
        <v>3</v>
      </c>
      <c r="B5" s="77" t="s">
        <v>58</v>
      </c>
      <c r="C5" s="49">
        <f>'2014年5月'!U5</f>
        <v>120.20899000000003</v>
      </c>
      <c r="D5" s="50">
        <v>1</v>
      </c>
      <c r="E5" s="51"/>
      <c r="F5" s="52">
        <f t="shared" si="1"/>
        <v>-13.6364</v>
      </c>
      <c r="G5" s="50">
        <v>1</v>
      </c>
      <c r="H5" s="51"/>
      <c r="I5" s="52">
        <f t="shared" si="2"/>
        <v>-13.0435</v>
      </c>
      <c r="J5" s="50">
        <v>1</v>
      </c>
      <c r="K5" s="51"/>
      <c r="L5" s="52">
        <f t="shared" si="3"/>
        <v>-14.2857</v>
      </c>
      <c r="M5" s="50">
        <v>1</v>
      </c>
      <c r="N5" s="51"/>
      <c r="O5" s="52">
        <f t="shared" si="4"/>
        <v>-13.8095</v>
      </c>
      <c r="P5" s="87">
        <v>1</v>
      </c>
      <c r="Q5" s="96"/>
      <c r="R5" s="52">
        <f>-27.2727*(P5-1)</f>
        <v>0</v>
      </c>
      <c r="S5" s="50"/>
      <c r="T5" s="53"/>
      <c r="U5" s="76">
        <f t="shared" si="0"/>
        <v>65.43389000000003</v>
      </c>
      <c r="W5" s="86"/>
    </row>
    <row r="6" spans="1:23" ht="12.75">
      <c r="A6" s="2">
        <v>4</v>
      </c>
      <c r="B6" s="110">
        <v>9631</v>
      </c>
      <c r="C6" s="55">
        <f>'2014年5月'!U6</f>
        <v>45.55248999999999</v>
      </c>
      <c r="D6" s="60">
        <v>1</v>
      </c>
      <c r="E6" s="57"/>
      <c r="F6" s="58">
        <f t="shared" si="1"/>
        <v>-13.6364</v>
      </c>
      <c r="G6" s="60">
        <v>1</v>
      </c>
      <c r="H6" s="57"/>
      <c r="I6" s="58">
        <f t="shared" si="2"/>
        <v>-13.0435</v>
      </c>
      <c r="J6" s="60">
        <v>1</v>
      </c>
      <c r="K6" s="57"/>
      <c r="L6" s="58">
        <f t="shared" si="3"/>
        <v>-14.2857</v>
      </c>
      <c r="M6" s="60">
        <v>1</v>
      </c>
      <c r="N6" s="57">
        <v>100</v>
      </c>
      <c r="O6" s="58">
        <f t="shared" si="4"/>
        <v>-13.8095</v>
      </c>
      <c r="P6" s="88"/>
      <c r="Q6" s="97"/>
      <c r="R6" s="58">
        <f t="shared" si="5"/>
        <v>0</v>
      </c>
      <c r="S6" s="60"/>
      <c r="T6" s="59"/>
      <c r="U6" s="76">
        <f t="shared" si="0"/>
        <v>90.77738999999998</v>
      </c>
      <c r="W6" s="86"/>
    </row>
    <row r="7" spans="1:23" ht="12.75">
      <c r="A7" s="2">
        <v>5</v>
      </c>
      <c r="B7" s="78" t="s">
        <v>95</v>
      </c>
      <c r="C7" s="55">
        <f>'2014年5月'!U7</f>
        <v>46.508990000000054</v>
      </c>
      <c r="D7" s="56">
        <v>1</v>
      </c>
      <c r="E7" s="57"/>
      <c r="F7" s="58">
        <f t="shared" si="1"/>
        <v>-13.6364</v>
      </c>
      <c r="G7" s="56">
        <v>1</v>
      </c>
      <c r="H7" s="57"/>
      <c r="I7" s="58">
        <f t="shared" si="2"/>
        <v>-13.0435</v>
      </c>
      <c r="J7" s="56">
        <v>1</v>
      </c>
      <c r="K7" s="57"/>
      <c r="L7" s="58">
        <f t="shared" si="3"/>
        <v>-14.2857</v>
      </c>
      <c r="M7" s="56">
        <v>1</v>
      </c>
      <c r="N7" s="57"/>
      <c r="O7" s="58">
        <f t="shared" si="4"/>
        <v>-13.8095</v>
      </c>
      <c r="P7" s="89">
        <v>1</v>
      </c>
      <c r="Q7" s="98">
        <v>200</v>
      </c>
      <c r="R7" s="58">
        <f t="shared" si="5"/>
        <v>-27.2727</v>
      </c>
      <c r="S7" s="56"/>
      <c r="T7" s="59"/>
      <c r="U7" s="76">
        <f t="shared" si="0"/>
        <v>164.46119000000004</v>
      </c>
      <c r="W7" s="86"/>
    </row>
    <row r="8" spans="1:23" ht="12.75">
      <c r="A8" s="2">
        <v>6</v>
      </c>
      <c r="B8" s="78" t="s">
        <v>60</v>
      </c>
      <c r="C8" s="55">
        <f>'2014年5月'!U8</f>
        <v>40.38919000000004</v>
      </c>
      <c r="D8" s="56">
        <v>1</v>
      </c>
      <c r="E8" s="57"/>
      <c r="F8" s="58">
        <f t="shared" si="1"/>
        <v>-13.6364</v>
      </c>
      <c r="G8" s="56">
        <v>1</v>
      </c>
      <c r="H8" s="57"/>
      <c r="I8" s="58">
        <f t="shared" si="2"/>
        <v>-13.0435</v>
      </c>
      <c r="J8" s="56">
        <v>1</v>
      </c>
      <c r="K8" s="57"/>
      <c r="L8" s="58">
        <f t="shared" si="3"/>
        <v>-14.2857</v>
      </c>
      <c r="M8" s="56">
        <v>1</v>
      </c>
      <c r="N8" s="57"/>
      <c r="O8" s="58">
        <f t="shared" si="4"/>
        <v>-13.8095</v>
      </c>
      <c r="P8" s="89">
        <v>1</v>
      </c>
      <c r="Q8" s="98"/>
      <c r="R8" s="58">
        <f>-27.2727*(P8-1)</f>
        <v>0</v>
      </c>
      <c r="S8" s="60"/>
      <c r="T8" s="59"/>
      <c r="U8" s="76">
        <f t="shared" si="0"/>
        <v>-14.38590999999996</v>
      </c>
      <c r="W8" s="86"/>
    </row>
    <row r="9" spans="1:23" ht="12.75">
      <c r="A9" s="2">
        <v>7</v>
      </c>
      <c r="B9" s="109" t="s">
        <v>61</v>
      </c>
      <c r="C9" s="67">
        <f>'2014年5月'!U9</f>
        <v>39.38879</v>
      </c>
      <c r="D9" s="68">
        <v>1</v>
      </c>
      <c r="E9" s="69"/>
      <c r="F9" s="70">
        <f t="shared" si="1"/>
        <v>-13.6364</v>
      </c>
      <c r="G9" s="68">
        <v>1</v>
      </c>
      <c r="H9" s="69"/>
      <c r="I9" s="70">
        <f t="shared" si="2"/>
        <v>-13.0435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-27.2727</v>
      </c>
      <c r="S9" s="68"/>
      <c r="T9" s="71"/>
      <c r="U9" s="76">
        <f t="shared" si="0"/>
        <v>-14.563810000000002</v>
      </c>
      <c r="W9" s="86"/>
    </row>
    <row r="10" spans="1:23" ht="12.75">
      <c r="A10" s="2">
        <v>8</v>
      </c>
      <c r="B10" s="81" t="s">
        <v>96</v>
      </c>
      <c r="C10" s="67">
        <f>'2014年5月'!U10</f>
        <v>207.58499000000006</v>
      </c>
      <c r="D10" s="72">
        <v>1</v>
      </c>
      <c r="E10" s="69"/>
      <c r="F10" s="70">
        <f t="shared" si="1"/>
        <v>-13.6364</v>
      </c>
      <c r="G10" s="72">
        <v>1</v>
      </c>
      <c r="H10" s="69"/>
      <c r="I10" s="70">
        <f t="shared" si="2"/>
        <v>-13.0435</v>
      </c>
      <c r="J10" s="72"/>
      <c r="K10" s="69"/>
      <c r="L10" s="70">
        <f t="shared" si="3"/>
        <v>0</v>
      </c>
      <c r="M10" s="72">
        <v>1</v>
      </c>
      <c r="N10" s="69"/>
      <c r="O10" s="70">
        <f t="shared" si="4"/>
        <v>-13.8095</v>
      </c>
      <c r="P10" s="91">
        <v>1</v>
      </c>
      <c r="Q10" s="100"/>
      <c r="R10" s="70">
        <f>-27.2727*(P10-1)</f>
        <v>0</v>
      </c>
      <c r="S10" s="72"/>
      <c r="T10" s="71"/>
      <c r="U10" s="76">
        <f t="shared" si="0"/>
        <v>167.09559000000007</v>
      </c>
      <c r="W10" s="86"/>
    </row>
    <row r="11" spans="1:23" ht="12.75">
      <c r="A11" s="2">
        <v>9</v>
      </c>
      <c r="B11" s="109" t="s">
        <v>63</v>
      </c>
      <c r="C11" s="67">
        <f>'2014年5月'!U11</f>
        <v>-0.6628099999999382</v>
      </c>
      <c r="D11" s="68">
        <v>1</v>
      </c>
      <c r="E11" s="69"/>
      <c r="F11" s="70">
        <f t="shared" si="1"/>
        <v>-13.6364</v>
      </c>
      <c r="G11" s="68"/>
      <c r="H11" s="69"/>
      <c r="I11" s="70">
        <f t="shared" si="2"/>
        <v>0</v>
      </c>
      <c r="J11" s="68">
        <v>1</v>
      </c>
      <c r="K11" s="69">
        <v>200</v>
      </c>
      <c r="L11" s="70">
        <f t="shared" si="3"/>
        <v>-14.2857</v>
      </c>
      <c r="M11" s="68"/>
      <c r="N11" s="69"/>
      <c r="O11" s="70">
        <f t="shared" si="4"/>
        <v>0</v>
      </c>
      <c r="P11" s="90">
        <v>1</v>
      </c>
      <c r="Q11" s="99"/>
      <c r="R11" s="70">
        <f t="shared" si="5"/>
        <v>-27.2727</v>
      </c>
      <c r="S11" s="68"/>
      <c r="T11" s="71"/>
      <c r="U11" s="76">
        <f t="shared" si="0"/>
        <v>144.1423900000001</v>
      </c>
      <c r="W11" s="86"/>
    </row>
    <row r="12" spans="1:23" ht="12.75">
      <c r="A12" s="2">
        <v>10</v>
      </c>
      <c r="B12" s="79" t="s">
        <v>193</v>
      </c>
      <c r="C12" s="61">
        <f>'2014年5月'!U12</f>
        <v>70.22269</v>
      </c>
      <c r="D12" s="62">
        <v>1</v>
      </c>
      <c r="E12" s="63"/>
      <c r="F12" s="64">
        <f t="shared" si="1"/>
        <v>-13.6364</v>
      </c>
      <c r="G12" s="62">
        <v>1</v>
      </c>
      <c r="H12" s="63"/>
      <c r="I12" s="64">
        <f t="shared" si="2"/>
        <v>-13.0435</v>
      </c>
      <c r="J12" s="62">
        <v>1</v>
      </c>
      <c r="K12" s="63"/>
      <c r="L12" s="64">
        <f t="shared" si="3"/>
        <v>-14.2857</v>
      </c>
      <c r="M12" s="62">
        <v>1</v>
      </c>
      <c r="N12" s="63"/>
      <c r="O12" s="64">
        <f t="shared" si="4"/>
        <v>-13.8095</v>
      </c>
      <c r="P12" s="92">
        <v>2</v>
      </c>
      <c r="Q12" s="101">
        <v>200</v>
      </c>
      <c r="R12" s="64">
        <f>-27.2727*(P12-2)</f>
        <v>0</v>
      </c>
      <c r="S12" s="62"/>
      <c r="T12" s="66"/>
      <c r="U12" s="76">
        <f t="shared" si="0"/>
        <v>215.44759</v>
      </c>
      <c r="W12" s="86"/>
    </row>
    <row r="13" spans="1:23" ht="12.75">
      <c r="A13" s="2">
        <v>11</v>
      </c>
      <c r="B13" s="79" t="s">
        <v>65</v>
      </c>
      <c r="C13" s="61">
        <f>'2014年5月'!U13</f>
        <v>32.214790000000015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-14.2857</v>
      </c>
      <c r="M13" s="62">
        <v>1</v>
      </c>
      <c r="N13" s="106"/>
      <c r="O13" s="64">
        <f t="shared" si="4"/>
        <v>-13.8095</v>
      </c>
      <c r="P13" s="92"/>
      <c r="Q13" s="101"/>
      <c r="R13" s="64">
        <f t="shared" si="5"/>
        <v>0</v>
      </c>
      <c r="S13" s="65"/>
      <c r="T13" s="66"/>
      <c r="U13" s="76">
        <f t="shared" si="0"/>
        <v>4.1195900000000165</v>
      </c>
      <c r="W13" s="86"/>
    </row>
    <row r="14" spans="1:23" ht="12.75">
      <c r="A14" s="2">
        <v>12</v>
      </c>
      <c r="B14" s="79" t="s">
        <v>66</v>
      </c>
      <c r="C14" s="61">
        <f>'2014年5月'!U14</f>
        <v>39.247490000000006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-13.0435</v>
      </c>
      <c r="J14" s="62">
        <v>1</v>
      </c>
      <c r="K14" s="63"/>
      <c r="L14" s="64">
        <f t="shared" si="3"/>
        <v>-14.2857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11.918290000000004</v>
      </c>
      <c r="W14" s="86"/>
    </row>
    <row r="15" spans="1:23" ht="12.75">
      <c r="A15" s="2">
        <v>13</v>
      </c>
      <c r="B15" s="80" t="s">
        <v>67</v>
      </c>
      <c r="C15" s="43">
        <f>'2014年5月'!U15</f>
        <v>133.40209000000007</v>
      </c>
      <c r="D15" s="44">
        <v>1</v>
      </c>
      <c r="E15" s="45"/>
      <c r="F15" s="46">
        <f t="shared" si="1"/>
        <v>-13.6364</v>
      </c>
      <c r="G15" s="44">
        <v>1</v>
      </c>
      <c r="H15" s="45"/>
      <c r="I15" s="46">
        <f t="shared" si="2"/>
        <v>-13.0435</v>
      </c>
      <c r="J15" s="44">
        <v>1</v>
      </c>
      <c r="K15" s="45"/>
      <c r="L15" s="46">
        <f t="shared" si="3"/>
        <v>-14.2857</v>
      </c>
      <c r="M15" s="44">
        <v>1</v>
      </c>
      <c r="N15" s="45"/>
      <c r="O15" s="46">
        <f t="shared" si="4"/>
        <v>-13.8095</v>
      </c>
      <c r="P15" s="93">
        <v>1</v>
      </c>
      <c r="Q15" s="102">
        <v>100</v>
      </c>
      <c r="R15" s="46">
        <f t="shared" si="5"/>
        <v>-27.2727</v>
      </c>
      <c r="S15" s="48"/>
      <c r="T15" s="47"/>
      <c r="U15" s="76">
        <f t="shared" si="0"/>
        <v>151.3542900000001</v>
      </c>
      <c r="W15" s="86"/>
    </row>
    <row r="16" spans="1:23" ht="12.75">
      <c r="A16" s="2">
        <v>14</v>
      </c>
      <c r="B16" s="80" t="s">
        <v>53</v>
      </c>
      <c r="C16" s="43">
        <f>'2014年5月'!U16</f>
        <v>24.358790000000013</v>
      </c>
      <c r="D16" s="44">
        <v>1</v>
      </c>
      <c r="E16" s="45"/>
      <c r="F16" s="46">
        <f t="shared" si="1"/>
        <v>-13.6364</v>
      </c>
      <c r="G16" s="44">
        <v>1</v>
      </c>
      <c r="H16" s="45"/>
      <c r="I16" s="46">
        <f t="shared" si="2"/>
        <v>-13.0435</v>
      </c>
      <c r="J16" s="44">
        <v>1</v>
      </c>
      <c r="K16" s="45"/>
      <c r="L16" s="46">
        <f t="shared" si="3"/>
        <v>-14.2857</v>
      </c>
      <c r="M16" s="44">
        <v>1</v>
      </c>
      <c r="N16" s="45">
        <v>100</v>
      </c>
      <c r="O16" s="46">
        <f t="shared" si="4"/>
        <v>-13.8095</v>
      </c>
      <c r="P16" s="93">
        <v>1</v>
      </c>
      <c r="Q16" s="102"/>
      <c r="R16" s="46">
        <f t="shared" si="5"/>
        <v>-27.2727</v>
      </c>
      <c r="S16" s="44"/>
      <c r="T16" s="47"/>
      <c r="U16" s="76">
        <f t="shared" si="0"/>
        <v>42.310990000000004</v>
      </c>
      <c r="W16" s="86"/>
    </row>
    <row r="17" spans="1:23" ht="12.75">
      <c r="A17" s="2">
        <v>15</v>
      </c>
      <c r="B17" s="80" t="s">
        <v>94</v>
      </c>
      <c r="C17" s="43">
        <f>'2014年5月'!U17</f>
        <v>19.689390000000024</v>
      </c>
      <c r="D17" s="44">
        <v>1</v>
      </c>
      <c r="E17" s="45">
        <v>100</v>
      </c>
      <c r="F17" s="46">
        <f t="shared" si="1"/>
        <v>-13.6364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-13.8095</v>
      </c>
      <c r="P17" s="93"/>
      <c r="Q17" s="102"/>
      <c r="R17" s="46">
        <f t="shared" si="5"/>
        <v>0</v>
      </c>
      <c r="S17" s="48"/>
      <c r="T17" s="47"/>
      <c r="U17" s="76">
        <f t="shared" si="0"/>
        <v>92.24349000000004</v>
      </c>
      <c r="W17" s="86"/>
    </row>
    <row r="18" spans="1:23" ht="12.75">
      <c r="A18" s="2">
        <v>16</v>
      </c>
      <c r="B18" s="77" t="s">
        <v>182</v>
      </c>
      <c r="C18" s="49">
        <f>'2014年5月'!U18</f>
        <v>22.510090000000012</v>
      </c>
      <c r="D18" s="50"/>
      <c r="E18" s="51"/>
      <c r="F18" s="52">
        <f t="shared" si="1"/>
        <v>0</v>
      </c>
      <c r="G18" s="50">
        <v>1</v>
      </c>
      <c r="H18" s="51"/>
      <c r="I18" s="52">
        <f t="shared" si="2"/>
        <v>-13.0435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>-27.2727*P18</f>
        <v>0</v>
      </c>
      <c r="S18" s="50"/>
      <c r="T18" s="53"/>
      <c r="U18" s="76">
        <f t="shared" si="0"/>
        <v>9.466590000000012</v>
      </c>
      <c r="W18" s="86"/>
    </row>
    <row r="19" spans="1:23" ht="12.75">
      <c r="A19" s="2">
        <v>17</v>
      </c>
      <c r="B19" s="77" t="s">
        <v>69</v>
      </c>
      <c r="C19" s="49">
        <f>'2014年5月'!U19</f>
        <v>7.794690000000058</v>
      </c>
      <c r="D19" s="50">
        <v>1</v>
      </c>
      <c r="E19" s="51">
        <v>100</v>
      </c>
      <c r="F19" s="52">
        <f t="shared" si="1"/>
        <v>-13.6364</v>
      </c>
      <c r="G19" s="50">
        <v>1</v>
      </c>
      <c r="H19" s="51"/>
      <c r="I19" s="52">
        <f t="shared" si="2"/>
        <v>-13.0435</v>
      </c>
      <c r="J19" s="50">
        <v>1</v>
      </c>
      <c r="K19" s="51"/>
      <c r="L19" s="52">
        <f t="shared" si="3"/>
        <v>-14.2857</v>
      </c>
      <c r="M19" s="50">
        <v>1</v>
      </c>
      <c r="N19" s="51"/>
      <c r="O19" s="52">
        <f t="shared" si="4"/>
        <v>-13.8095</v>
      </c>
      <c r="P19" s="87">
        <v>1</v>
      </c>
      <c r="Q19" s="96"/>
      <c r="R19" s="52">
        <f t="shared" si="5"/>
        <v>-27.2727</v>
      </c>
      <c r="S19" s="54"/>
      <c r="T19" s="53"/>
      <c r="U19" s="76">
        <f t="shared" si="0"/>
        <v>25.746890000000064</v>
      </c>
      <c r="W19" s="86"/>
    </row>
    <row r="20" spans="1:23" ht="12.75">
      <c r="A20" s="2">
        <v>18</v>
      </c>
      <c r="B20" s="77" t="s">
        <v>97</v>
      </c>
      <c r="C20" s="49">
        <f>'2014年5月'!U20</f>
        <v>-6.895709999999999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>
        <v>100</v>
      </c>
      <c r="R20" s="52">
        <f t="shared" si="5"/>
        <v>-27.2727</v>
      </c>
      <c r="S20" s="50"/>
      <c r="T20" s="53"/>
      <c r="U20" s="76">
        <f t="shared" si="0"/>
        <v>65.83159</v>
      </c>
      <c r="W20" s="86"/>
    </row>
    <row r="21" spans="1:23" ht="12.75">
      <c r="A21" s="2">
        <v>19</v>
      </c>
      <c r="B21" s="78" t="s">
        <v>169</v>
      </c>
      <c r="C21" s="55">
        <f>'2014年5月'!U21</f>
        <v>-19.63800999999998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-19.63800999999998</v>
      </c>
      <c r="W21" s="86"/>
    </row>
    <row r="22" spans="1:23" ht="12.75">
      <c r="A22" s="2">
        <v>20</v>
      </c>
      <c r="B22" s="78" t="s">
        <v>72</v>
      </c>
      <c r="C22" s="55">
        <f>'2014年5月'!U22</f>
        <v>97.68368999999998</v>
      </c>
      <c r="D22" s="56"/>
      <c r="E22" s="57"/>
      <c r="F22" s="58">
        <f t="shared" si="1"/>
        <v>0</v>
      </c>
      <c r="G22" s="56">
        <v>1</v>
      </c>
      <c r="H22" s="57"/>
      <c r="I22" s="58">
        <f t="shared" si="2"/>
        <v>-13.0435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/>
      <c r="U22" s="76">
        <f t="shared" si="0"/>
        <v>84.64018999999999</v>
      </c>
      <c r="W22" s="86"/>
    </row>
    <row r="23" spans="1:23" ht="12.75">
      <c r="A23" s="2">
        <v>21</v>
      </c>
      <c r="B23" s="78" t="s">
        <v>73</v>
      </c>
      <c r="C23" s="55">
        <f>'2014年5月'!U23</f>
        <v>105.19768999999988</v>
      </c>
      <c r="D23" s="56">
        <v>1</v>
      </c>
      <c r="E23" s="57"/>
      <c r="F23" s="58">
        <f t="shared" si="1"/>
        <v>-13.6364</v>
      </c>
      <c r="G23" s="56">
        <v>1</v>
      </c>
      <c r="H23" s="57"/>
      <c r="I23" s="58">
        <f t="shared" si="2"/>
        <v>-13.0435</v>
      </c>
      <c r="J23" s="56">
        <v>1</v>
      </c>
      <c r="K23" s="57"/>
      <c r="L23" s="58">
        <f t="shared" si="3"/>
        <v>-14.2857</v>
      </c>
      <c r="M23" s="56"/>
      <c r="N23" s="57"/>
      <c r="O23" s="58">
        <f t="shared" si="4"/>
        <v>0</v>
      </c>
      <c r="P23" s="89">
        <v>1</v>
      </c>
      <c r="Q23" s="98">
        <v>300</v>
      </c>
      <c r="R23" s="58">
        <f>-27.2727*(P23-1)</f>
        <v>0</v>
      </c>
      <c r="S23" s="60"/>
      <c r="T23" s="59"/>
      <c r="U23" s="76">
        <f t="shared" si="0"/>
        <v>364.23208999999986</v>
      </c>
      <c r="W23" s="86"/>
    </row>
    <row r="24" spans="1:23" ht="12.75">
      <c r="A24" s="2">
        <v>22</v>
      </c>
      <c r="B24" s="81" t="s">
        <v>74</v>
      </c>
      <c r="C24" s="67">
        <f>'2014年5月'!U24</f>
        <v>44.35749000000007</v>
      </c>
      <c r="D24" s="68">
        <v>1</v>
      </c>
      <c r="E24" s="69"/>
      <c r="F24" s="70">
        <f t="shared" si="1"/>
        <v>-13.6364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>
        <v>1</v>
      </c>
      <c r="N24" s="69"/>
      <c r="O24" s="70">
        <f>-13.8095*M24-10</f>
        <v>-23.8095</v>
      </c>
      <c r="P24" s="90">
        <v>1</v>
      </c>
      <c r="Q24" s="99">
        <v>100</v>
      </c>
      <c r="R24" s="70">
        <f>-27.2727*(P24-1)</f>
        <v>0</v>
      </c>
      <c r="S24" s="68"/>
      <c r="T24" s="71"/>
      <c r="U24" s="76">
        <f t="shared" si="0"/>
        <v>106.91159000000007</v>
      </c>
      <c r="W24" s="86"/>
    </row>
    <row r="25" spans="1:23" ht="12.75">
      <c r="A25" s="2">
        <v>23</v>
      </c>
      <c r="B25" s="81" t="s">
        <v>75</v>
      </c>
      <c r="C25" s="67">
        <f>'2014年5月'!U25</f>
        <v>138.78049</v>
      </c>
      <c r="D25" s="68">
        <v>1</v>
      </c>
      <c r="E25" s="69"/>
      <c r="F25" s="70">
        <f t="shared" si="1"/>
        <v>-13.6364</v>
      </c>
      <c r="G25" s="68"/>
      <c r="H25" s="69"/>
      <c r="I25" s="70">
        <f t="shared" si="2"/>
        <v>0</v>
      </c>
      <c r="J25" s="68">
        <v>1</v>
      </c>
      <c r="K25" s="69"/>
      <c r="L25" s="70">
        <f t="shared" si="3"/>
        <v>-14.2857</v>
      </c>
      <c r="M25" s="68">
        <v>1</v>
      </c>
      <c r="N25" s="69"/>
      <c r="O25" s="70">
        <f t="shared" si="4"/>
        <v>-13.8095</v>
      </c>
      <c r="P25" s="90">
        <v>1</v>
      </c>
      <c r="Q25" s="99"/>
      <c r="R25" s="70">
        <f>-27.2727*(P25-1)</f>
        <v>0</v>
      </c>
      <c r="S25" s="68"/>
      <c r="T25" s="71"/>
      <c r="U25" s="76">
        <f t="shared" si="0"/>
        <v>97.04888999999999</v>
      </c>
      <c r="W25" s="86"/>
    </row>
    <row r="26" spans="1:23" ht="12.75">
      <c r="A26" s="2">
        <v>24</v>
      </c>
      <c r="B26" s="81" t="s">
        <v>92</v>
      </c>
      <c r="C26" s="67">
        <f>'2014年5月'!U26</f>
        <v>-77.61980999999994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-77.61980999999994</v>
      </c>
      <c r="W26" s="86"/>
    </row>
    <row r="27" spans="1:23" ht="12.75">
      <c r="A27" s="2">
        <v>25</v>
      </c>
      <c r="B27" s="79" t="s">
        <v>98</v>
      </c>
      <c r="C27" s="61">
        <f>'2014年5月'!U27</f>
        <v>60.46759</v>
      </c>
      <c r="D27" s="62">
        <v>1</v>
      </c>
      <c r="E27" s="73"/>
      <c r="F27" s="64">
        <f t="shared" si="1"/>
        <v>-13.6364</v>
      </c>
      <c r="G27" s="62">
        <v>1</v>
      </c>
      <c r="H27" s="73"/>
      <c r="I27" s="64">
        <f t="shared" si="2"/>
        <v>-13.0435</v>
      </c>
      <c r="J27" s="62">
        <v>1</v>
      </c>
      <c r="K27" s="73"/>
      <c r="L27" s="64">
        <f t="shared" si="3"/>
        <v>-14.2857</v>
      </c>
      <c r="M27" s="62">
        <v>1</v>
      </c>
      <c r="N27" s="73">
        <v>200</v>
      </c>
      <c r="O27" s="64">
        <f t="shared" si="4"/>
        <v>-13.8095</v>
      </c>
      <c r="P27" s="92">
        <v>1</v>
      </c>
      <c r="Q27" s="101"/>
      <c r="R27" s="64">
        <f t="shared" si="5"/>
        <v>-27.2727</v>
      </c>
      <c r="S27" s="62">
        <v>1</v>
      </c>
      <c r="T27" s="66">
        <f>-76*S27</f>
        <v>-76</v>
      </c>
      <c r="U27" s="76">
        <f t="shared" si="0"/>
        <v>102.41979000000002</v>
      </c>
      <c r="W27" s="86"/>
    </row>
    <row r="28" spans="1:23" ht="12.75">
      <c r="A28" s="2">
        <v>26</v>
      </c>
      <c r="B28" s="79" t="s">
        <v>99</v>
      </c>
      <c r="C28" s="61">
        <f>'2014年5月'!U28</f>
        <v>286.36759000000006</v>
      </c>
      <c r="D28" s="65"/>
      <c r="E28" s="73"/>
      <c r="F28" s="64">
        <f t="shared" si="1"/>
        <v>0</v>
      </c>
      <c r="G28" s="65">
        <v>1</v>
      </c>
      <c r="H28" s="73"/>
      <c r="I28" s="64">
        <f t="shared" si="2"/>
        <v>-13.0435</v>
      </c>
      <c r="J28" s="65">
        <v>1</v>
      </c>
      <c r="K28" s="73"/>
      <c r="L28" s="64">
        <f t="shared" si="3"/>
        <v>-14.2857</v>
      </c>
      <c r="M28" s="65">
        <v>1</v>
      </c>
      <c r="N28" s="73"/>
      <c r="O28" s="64">
        <f t="shared" si="4"/>
        <v>-13.8095</v>
      </c>
      <c r="P28" s="94"/>
      <c r="Q28" s="103"/>
      <c r="R28" s="64">
        <f t="shared" si="5"/>
        <v>0</v>
      </c>
      <c r="S28" s="65"/>
      <c r="T28" s="66">
        <f>-76*S28</f>
        <v>0</v>
      </c>
      <c r="U28" s="76">
        <f t="shared" si="0"/>
        <v>245.22889000000004</v>
      </c>
      <c r="W28" s="86"/>
    </row>
    <row r="29" spans="1:23" ht="12.75">
      <c r="A29" s="2">
        <v>27</v>
      </c>
      <c r="B29" s="79" t="s">
        <v>100</v>
      </c>
      <c r="C29" s="61">
        <f>'2014年5月'!U29</f>
        <v>121.36668999999998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-13.0435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2">
        <v>1</v>
      </c>
      <c r="Q29" s="101"/>
      <c r="R29" s="64">
        <f>-27.2727*(P29-1)</f>
        <v>0</v>
      </c>
      <c r="S29" s="62">
        <v>1</v>
      </c>
      <c r="T29" s="66">
        <f>-76*S29</f>
        <v>-76</v>
      </c>
      <c r="U29" s="76">
        <f t="shared" si="0"/>
        <v>32.32318999999998</v>
      </c>
      <c r="W29" s="86"/>
    </row>
    <row r="30" spans="1:23" ht="12.75">
      <c r="A30" s="2">
        <v>28</v>
      </c>
      <c r="B30" s="80" t="s">
        <v>80</v>
      </c>
      <c r="C30" s="43">
        <f>'2014年5月'!U30</f>
        <v>38.74920000000003</v>
      </c>
      <c r="D30" s="48">
        <v>1</v>
      </c>
      <c r="E30" s="74"/>
      <c r="F30" s="46">
        <f t="shared" si="1"/>
        <v>-13.6364</v>
      </c>
      <c r="G30" s="48">
        <v>1</v>
      </c>
      <c r="H30" s="74"/>
      <c r="I30" s="46">
        <f t="shared" si="2"/>
        <v>-13.0435</v>
      </c>
      <c r="J30" s="48">
        <v>1</v>
      </c>
      <c r="K30" s="74"/>
      <c r="L30" s="46">
        <f t="shared" si="3"/>
        <v>-14.2857</v>
      </c>
      <c r="M30" s="48">
        <v>1</v>
      </c>
      <c r="N30" s="74">
        <v>200</v>
      </c>
      <c r="O30" s="46">
        <f t="shared" si="4"/>
        <v>-13.8095</v>
      </c>
      <c r="P30" s="95">
        <v>1</v>
      </c>
      <c r="Q30" s="104"/>
      <c r="R30" s="46">
        <f>-27.2727*(P30-1)</f>
        <v>0</v>
      </c>
      <c r="S30" s="48">
        <v>1</v>
      </c>
      <c r="T30" s="47">
        <f>-76*S30</f>
        <v>-76</v>
      </c>
      <c r="U30" s="76">
        <f t="shared" si="0"/>
        <v>107.97410000000002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'2014年5月'!U31</f>
        <v>27.80919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-13.0435</v>
      </c>
      <c r="J31" s="44">
        <v>1</v>
      </c>
      <c r="K31" s="74"/>
      <c r="L31" s="46">
        <f t="shared" si="3"/>
        <v>-14.2857</v>
      </c>
      <c r="M31" s="44"/>
      <c r="N31" s="74"/>
      <c r="O31" s="46">
        <f t="shared" si="4"/>
        <v>0</v>
      </c>
      <c r="P31" s="93"/>
      <c r="Q31" s="102"/>
      <c r="R31" s="46">
        <f t="shared" si="5"/>
        <v>0</v>
      </c>
      <c r="S31" s="44"/>
      <c r="T31" s="47"/>
      <c r="U31" s="76">
        <f t="shared" si="0"/>
        <v>0.4799900000000008</v>
      </c>
      <c r="W31" s="86"/>
    </row>
    <row r="32" spans="1:23" ht="12.75">
      <c r="A32" s="2">
        <v>30</v>
      </c>
      <c r="B32" s="80" t="s">
        <v>170</v>
      </c>
      <c r="C32" s="43">
        <f>'2014年5月'!U32</f>
        <v>8.774690000000014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8.774690000000014</v>
      </c>
      <c r="W32" s="86"/>
    </row>
    <row r="33" spans="1:23" ht="12.75">
      <c r="A33" s="2">
        <v>31</v>
      </c>
      <c r="B33" s="77" t="s">
        <v>104</v>
      </c>
      <c r="C33" s="49">
        <f>'2014年5月'!U33</f>
        <v>64.49919</v>
      </c>
      <c r="D33" s="50">
        <v>1</v>
      </c>
      <c r="E33" s="51"/>
      <c r="F33" s="52">
        <f t="shared" si="1"/>
        <v>-13.6364</v>
      </c>
      <c r="G33" s="50">
        <v>1</v>
      </c>
      <c r="H33" s="51"/>
      <c r="I33" s="52">
        <f t="shared" si="2"/>
        <v>-13.0435</v>
      </c>
      <c r="J33" s="50">
        <v>1</v>
      </c>
      <c r="K33" s="51"/>
      <c r="L33" s="52">
        <f t="shared" si="3"/>
        <v>-14.2857</v>
      </c>
      <c r="M33" s="50">
        <v>1</v>
      </c>
      <c r="N33" s="51"/>
      <c r="O33" s="52">
        <f t="shared" si="4"/>
        <v>-13.8095</v>
      </c>
      <c r="P33" s="87">
        <v>1</v>
      </c>
      <c r="Q33" s="96"/>
      <c r="R33" s="52">
        <f>-27.2727*P33</f>
        <v>-27.2727</v>
      </c>
      <c r="S33" s="50"/>
      <c r="T33" s="53"/>
      <c r="U33" s="76">
        <f t="shared" si="0"/>
        <v>-17.548610000000004</v>
      </c>
      <c r="W33" s="86"/>
    </row>
    <row r="34" spans="1:23" ht="12.75">
      <c r="A34" s="2">
        <v>32</v>
      </c>
      <c r="B34" s="77" t="s">
        <v>190</v>
      </c>
      <c r="C34" s="49">
        <f>'2014年5月'!U34</f>
        <v>66.57249000000002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>
        <v>1</v>
      </c>
      <c r="N34" s="51"/>
      <c r="O34" s="52">
        <f t="shared" si="4"/>
        <v>-13.8095</v>
      </c>
      <c r="P34" s="87">
        <v>1</v>
      </c>
      <c r="Q34" s="96"/>
      <c r="R34" s="52">
        <f>-27.2727*(P34-1)</f>
        <v>0</v>
      </c>
      <c r="S34" s="54"/>
      <c r="T34" s="53"/>
      <c r="U34" s="76">
        <f t="shared" si="0"/>
        <v>52.762990000000016</v>
      </c>
      <c r="W34" s="86"/>
    </row>
    <row r="35" spans="1:23" ht="12.75">
      <c r="A35" s="2">
        <v>33</v>
      </c>
      <c r="B35" s="77" t="s">
        <v>207</v>
      </c>
      <c r="C35" s="49">
        <f>'2014年5月'!U35</f>
        <v>39.84279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39.84279</v>
      </c>
      <c r="W35" s="86"/>
    </row>
    <row r="36" spans="1:23" ht="12.75">
      <c r="A36" s="2">
        <v>34</v>
      </c>
      <c r="B36" s="78" t="s">
        <v>101</v>
      </c>
      <c r="C36" s="55">
        <f>'2014年5月'!U36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'2014年5月'!U37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'2014年5月'!U38</f>
        <v>78.42869000000002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78.42869000000002</v>
      </c>
      <c r="W38" s="86"/>
    </row>
    <row r="39" spans="1:23" ht="12.75">
      <c r="A39" s="2">
        <v>37</v>
      </c>
      <c r="B39" s="81" t="s">
        <v>200</v>
      </c>
      <c r="C39" s="67">
        <f>'2014年5月'!U39</f>
        <v>92.59469999999999</v>
      </c>
      <c r="D39" s="68">
        <v>1</v>
      </c>
      <c r="E39" s="69"/>
      <c r="F39" s="70">
        <f t="shared" si="1"/>
        <v>-13.6364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78.9583</v>
      </c>
      <c r="W39" s="86"/>
    </row>
    <row r="40" spans="1:23" ht="12.75">
      <c r="A40" s="2">
        <v>38</v>
      </c>
      <c r="B40" s="81"/>
      <c r="C40" s="67">
        <f>'2014年5月'!U40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'2014年5月'!U41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22</v>
      </c>
      <c r="F43" s="1">
        <f>E54/D43</f>
        <v>13.636363636363637</v>
      </c>
      <c r="G43" s="1">
        <f>SUM(G3:G41)</f>
        <v>23</v>
      </c>
      <c r="I43" s="1">
        <f>H54/G43</f>
        <v>13.043478260869565</v>
      </c>
      <c r="J43" s="1">
        <f>SUM(J3:J41)</f>
        <v>21</v>
      </c>
      <c r="L43" s="1">
        <f>K54/J43</f>
        <v>14.285714285714286</v>
      </c>
      <c r="M43" s="1">
        <f>SUM(M3:M41)</f>
        <v>21</v>
      </c>
      <c r="O43" s="1">
        <f>N54/M43</f>
        <v>13.80952380952381</v>
      </c>
      <c r="P43" s="1">
        <f>SUM(P3:P41)</f>
        <v>23</v>
      </c>
      <c r="R43" s="1">
        <f>Q54/P43</f>
        <v>13.043478260869565</v>
      </c>
      <c r="S43" s="1">
        <f>SUM(S3:S42)</f>
        <v>5</v>
      </c>
      <c r="T43" s="27">
        <f>SUM(T3:T41)</f>
        <v>-380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-300.00079999999997</v>
      </c>
      <c r="H45" s="28" t="s">
        <v>84</v>
      </c>
      <c r="I45" s="1">
        <f>SUM(I3:I41)</f>
        <v>-300.00049999999993</v>
      </c>
      <c r="K45" s="28" t="s">
        <v>84</v>
      </c>
      <c r="L45" s="1">
        <f>SUM(L3:L41)</f>
        <v>-299.9997</v>
      </c>
      <c r="N45" s="28" t="s">
        <v>84</v>
      </c>
      <c r="O45" s="1">
        <f>SUM(O3:O41)</f>
        <v>-299.9995000000001</v>
      </c>
      <c r="Q45" s="28" t="s">
        <v>84</v>
      </c>
      <c r="R45" s="1">
        <f>SUM(R3:R41)</f>
        <v>-299.9996999999999</v>
      </c>
      <c r="U45" s="19"/>
    </row>
    <row r="46" spans="2:21" ht="12.75">
      <c r="B46" s="29" t="s">
        <v>85</v>
      </c>
      <c r="C46" s="27">
        <f>SUM(C3:C41)</f>
        <v>2399.9993700000005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2519.999170000001</v>
      </c>
      <c r="W47" s="86">
        <f>U47</f>
        <v>2519.999170000001</v>
      </c>
    </row>
    <row r="48" spans="2:20" ht="12.75" customHeight="1">
      <c r="B48" s="86"/>
      <c r="D48" s="117" t="s">
        <v>277</v>
      </c>
      <c r="E48" s="118"/>
      <c r="F48" s="119"/>
      <c r="G48" s="117" t="s">
        <v>278</v>
      </c>
      <c r="H48" s="118"/>
      <c r="I48" s="119"/>
      <c r="J48" s="117" t="s">
        <v>279</v>
      </c>
      <c r="K48" s="118"/>
      <c r="L48" s="119"/>
      <c r="M48" s="117" t="s">
        <v>280</v>
      </c>
      <c r="N48" s="118"/>
      <c r="O48" s="119"/>
      <c r="P48" s="117" t="s">
        <v>281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290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 t="s">
        <v>283</v>
      </c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82"/>
      <c r="M70" s="28" t="s">
        <v>74</v>
      </c>
      <c r="N70" s="28">
        <v>10</v>
      </c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K72" s="28"/>
      <c r="N72" s="28">
        <f>SUM(N70:N71)</f>
        <v>10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M77" s="105"/>
      <c r="P77" s="105"/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5" sqref="Q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41840</v>
      </c>
      <c r="E1" s="126"/>
      <c r="F1" s="127"/>
      <c r="G1" s="16"/>
      <c r="H1" s="24">
        <v>41847</v>
      </c>
      <c r="I1" s="17"/>
      <c r="J1" s="30"/>
      <c r="K1" s="24">
        <v>41854</v>
      </c>
      <c r="L1" s="31"/>
      <c r="M1" s="16"/>
      <c r="N1" s="24">
        <v>41861</v>
      </c>
      <c r="O1" s="17"/>
      <c r="P1" s="16"/>
      <c r="Q1" s="24">
        <v>41868</v>
      </c>
      <c r="R1" s="17"/>
      <c r="S1" s="128"/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'2014年6月'!U3</f>
        <v>-23.281409999999966</v>
      </c>
      <c r="D3" s="50">
        <v>1</v>
      </c>
      <c r="E3" s="51">
        <v>80</v>
      </c>
      <c r="F3" s="52">
        <f>-17.6471*D3</f>
        <v>-17.6471</v>
      </c>
      <c r="G3" s="50">
        <v>1</v>
      </c>
      <c r="H3" s="51"/>
      <c r="I3" s="52">
        <f>-17.6471*G3</f>
        <v>-17.6471</v>
      </c>
      <c r="J3" s="50">
        <v>1</v>
      </c>
      <c r="K3" s="51"/>
      <c r="L3" s="52">
        <f>-14.2857*J3</f>
        <v>-14.2857</v>
      </c>
      <c r="M3" s="50">
        <v>1</v>
      </c>
      <c r="N3" s="51">
        <v>100</v>
      </c>
      <c r="O3" s="52">
        <f>-17.647*M3</f>
        <v>-17.647</v>
      </c>
      <c r="P3" s="87">
        <v>1</v>
      </c>
      <c r="Q3" s="96"/>
      <c r="R3" s="52">
        <f>-15*P3</f>
        <v>-15</v>
      </c>
      <c r="S3" s="50"/>
      <c r="T3" s="53"/>
      <c r="U3" s="76">
        <f aca="true" t="shared" si="0" ref="U3:U41">C3+E3+F3+H3+I3+K3+L3+N3+O3+T3+Q3+R3</f>
        <v>74.49169000000003</v>
      </c>
      <c r="W3" s="86"/>
    </row>
    <row r="4" spans="1:23" ht="12.75">
      <c r="A4" s="2">
        <v>2</v>
      </c>
      <c r="B4" s="75" t="s">
        <v>3</v>
      </c>
      <c r="C4" s="49">
        <f>'2014年6月'!U4</f>
        <v>-19.960009999999897</v>
      </c>
      <c r="D4" s="50"/>
      <c r="E4" s="51"/>
      <c r="F4" s="52">
        <f aca="true" t="shared" si="1" ref="F4:F41">-17.6471*D4</f>
        <v>0</v>
      </c>
      <c r="G4" s="50">
        <v>1</v>
      </c>
      <c r="H4" s="51"/>
      <c r="I4" s="52">
        <f aca="true" t="shared" si="2" ref="I4:I41">-17.6471*G4</f>
        <v>-17.6471</v>
      </c>
      <c r="J4" s="50">
        <v>2</v>
      </c>
      <c r="K4" s="51">
        <v>200</v>
      </c>
      <c r="L4" s="52">
        <f aca="true" t="shared" si="3" ref="L4:L41">-14.2857*J4</f>
        <v>-28.5714</v>
      </c>
      <c r="M4" s="50">
        <v>1</v>
      </c>
      <c r="N4" s="51"/>
      <c r="O4" s="52">
        <f aca="true" t="shared" si="4" ref="O4:O41">-17.647*M4</f>
        <v>-17.647</v>
      </c>
      <c r="P4" s="87">
        <v>2</v>
      </c>
      <c r="Q4" s="96"/>
      <c r="R4" s="52">
        <f aca="true" t="shared" si="5" ref="R4:R41">-15*P4</f>
        <v>-30</v>
      </c>
      <c r="S4" s="54"/>
      <c r="T4" s="53"/>
      <c r="U4" s="76">
        <f t="shared" si="0"/>
        <v>86.1744900000001</v>
      </c>
      <c r="W4" s="86"/>
    </row>
    <row r="5" spans="1:23" ht="12.75">
      <c r="A5" s="2">
        <v>3</v>
      </c>
      <c r="B5" s="77" t="s">
        <v>58</v>
      </c>
      <c r="C5" s="49">
        <f>'2014年6月'!U5</f>
        <v>65.43389000000003</v>
      </c>
      <c r="D5" s="50">
        <v>1</v>
      </c>
      <c r="E5" s="51"/>
      <c r="F5" s="52">
        <f t="shared" si="1"/>
        <v>-17.6471</v>
      </c>
      <c r="G5" s="50">
        <v>1</v>
      </c>
      <c r="H5" s="51"/>
      <c r="I5" s="52">
        <f t="shared" si="2"/>
        <v>-17.6471</v>
      </c>
      <c r="J5" s="50"/>
      <c r="K5" s="51"/>
      <c r="L5" s="52">
        <f t="shared" si="3"/>
        <v>0</v>
      </c>
      <c r="M5" s="50">
        <v>1</v>
      </c>
      <c r="N5" s="51"/>
      <c r="O5" s="52">
        <f t="shared" si="4"/>
        <v>-17.647</v>
      </c>
      <c r="P5" s="87"/>
      <c r="Q5" s="96"/>
      <c r="R5" s="52">
        <f t="shared" si="5"/>
        <v>0</v>
      </c>
      <c r="S5" s="50"/>
      <c r="T5" s="53"/>
      <c r="U5" s="76">
        <f t="shared" si="0"/>
        <v>12.492690000000042</v>
      </c>
      <c r="W5" s="86"/>
    </row>
    <row r="6" spans="1:23" ht="12.75">
      <c r="A6" s="2">
        <v>4</v>
      </c>
      <c r="B6" s="110">
        <v>9631</v>
      </c>
      <c r="C6" s="55">
        <f>'2014年6月'!U6</f>
        <v>90.77738999999998</v>
      </c>
      <c r="D6" s="60">
        <v>1</v>
      </c>
      <c r="E6" s="57"/>
      <c r="F6" s="58">
        <f t="shared" si="1"/>
        <v>-17.6471</v>
      </c>
      <c r="G6" s="60">
        <v>1</v>
      </c>
      <c r="H6" s="57"/>
      <c r="I6" s="58">
        <f t="shared" si="2"/>
        <v>-17.6471</v>
      </c>
      <c r="J6" s="60">
        <v>1</v>
      </c>
      <c r="K6" s="57"/>
      <c r="L6" s="58">
        <f t="shared" si="3"/>
        <v>-14.2857</v>
      </c>
      <c r="M6" s="60">
        <v>1</v>
      </c>
      <c r="N6" s="57"/>
      <c r="O6" s="58">
        <f t="shared" si="4"/>
        <v>-17.647</v>
      </c>
      <c r="P6" s="88">
        <v>1</v>
      </c>
      <c r="Q6" s="97"/>
      <c r="R6" s="58">
        <f t="shared" si="5"/>
        <v>-15</v>
      </c>
      <c r="S6" s="60"/>
      <c r="T6" s="59"/>
      <c r="U6" s="76">
        <f t="shared" si="0"/>
        <v>8.550489999999996</v>
      </c>
      <c r="W6" s="86"/>
    </row>
    <row r="7" spans="1:23" ht="12.75">
      <c r="A7" s="2">
        <v>5</v>
      </c>
      <c r="B7" s="78" t="s">
        <v>95</v>
      </c>
      <c r="C7" s="55">
        <f>'2014年6月'!U7</f>
        <v>164.46119000000004</v>
      </c>
      <c r="D7" s="56">
        <v>1</v>
      </c>
      <c r="E7" s="57"/>
      <c r="F7" s="58">
        <f t="shared" si="1"/>
        <v>-17.6471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-14.2857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-15</v>
      </c>
      <c r="S7" s="56"/>
      <c r="T7" s="59"/>
      <c r="U7" s="76">
        <f t="shared" si="0"/>
        <v>117.52839000000006</v>
      </c>
      <c r="W7" s="86"/>
    </row>
    <row r="8" spans="1:23" ht="12.75">
      <c r="A8" s="2">
        <v>6</v>
      </c>
      <c r="B8" s="78" t="s">
        <v>60</v>
      </c>
      <c r="C8" s="55">
        <f>'2014年6月'!U8</f>
        <v>-14.38590999999996</v>
      </c>
      <c r="D8" s="56"/>
      <c r="E8" s="57"/>
      <c r="F8" s="58">
        <f t="shared" si="1"/>
        <v>0</v>
      </c>
      <c r="G8" s="56">
        <v>1</v>
      </c>
      <c r="H8" s="57">
        <v>200</v>
      </c>
      <c r="I8" s="58">
        <f t="shared" si="2"/>
        <v>-17.6471</v>
      </c>
      <c r="J8" s="56">
        <v>1</v>
      </c>
      <c r="K8" s="57"/>
      <c r="L8" s="58">
        <f t="shared" si="3"/>
        <v>-14.2857</v>
      </c>
      <c r="M8" s="56">
        <v>1</v>
      </c>
      <c r="N8" s="57"/>
      <c r="O8" s="58">
        <f t="shared" si="4"/>
        <v>-17.647</v>
      </c>
      <c r="P8" s="89">
        <v>1</v>
      </c>
      <c r="Q8" s="98"/>
      <c r="R8" s="58">
        <f t="shared" si="5"/>
        <v>-15</v>
      </c>
      <c r="S8" s="60"/>
      <c r="T8" s="59"/>
      <c r="U8" s="76">
        <f t="shared" si="0"/>
        <v>121.03429000000006</v>
      </c>
      <c r="W8" s="86"/>
    </row>
    <row r="9" spans="1:23" ht="12.75">
      <c r="A9" s="2">
        <v>7</v>
      </c>
      <c r="B9" s="109" t="s">
        <v>61</v>
      </c>
      <c r="C9" s="67">
        <f>'2014年6月'!U9</f>
        <v>-14.563810000000002</v>
      </c>
      <c r="D9" s="68">
        <v>1</v>
      </c>
      <c r="E9" s="69">
        <v>100</v>
      </c>
      <c r="F9" s="70">
        <f t="shared" si="1"/>
        <v>-17.6471</v>
      </c>
      <c r="G9" s="68">
        <v>1</v>
      </c>
      <c r="H9" s="69"/>
      <c r="I9" s="70">
        <f t="shared" si="2"/>
        <v>-17.6471</v>
      </c>
      <c r="J9" s="68"/>
      <c r="K9" s="69"/>
      <c r="L9" s="70">
        <f t="shared" si="3"/>
        <v>0</v>
      </c>
      <c r="M9" s="68">
        <v>1</v>
      </c>
      <c r="N9" s="69"/>
      <c r="O9" s="70">
        <f t="shared" si="4"/>
        <v>-17.647</v>
      </c>
      <c r="P9" s="90"/>
      <c r="Q9" s="99"/>
      <c r="R9" s="70">
        <f t="shared" si="5"/>
        <v>0</v>
      </c>
      <c r="S9" s="68"/>
      <c r="T9" s="71"/>
      <c r="U9" s="76">
        <f t="shared" si="0"/>
        <v>32.49499000000001</v>
      </c>
      <c r="W9" s="86"/>
    </row>
    <row r="10" spans="1:23" ht="12.75">
      <c r="A10" s="2">
        <v>8</v>
      </c>
      <c r="B10" s="81" t="s">
        <v>96</v>
      </c>
      <c r="C10" s="67">
        <f>'2014年6月'!U10</f>
        <v>167.09559000000007</v>
      </c>
      <c r="D10" s="72"/>
      <c r="E10" s="69"/>
      <c r="F10" s="70">
        <f t="shared" si="1"/>
        <v>0</v>
      </c>
      <c r="G10" s="72"/>
      <c r="H10" s="69"/>
      <c r="I10" s="70">
        <f t="shared" si="2"/>
        <v>0</v>
      </c>
      <c r="J10" s="72"/>
      <c r="K10" s="69"/>
      <c r="L10" s="70">
        <f t="shared" si="3"/>
        <v>0</v>
      </c>
      <c r="M10" s="72">
        <v>1</v>
      </c>
      <c r="N10" s="69"/>
      <c r="O10" s="70">
        <f t="shared" si="4"/>
        <v>-17.647</v>
      </c>
      <c r="P10" s="91">
        <v>1</v>
      </c>
      <c r="Q10" s="100"/>
      <c r="R10" s="70">
        <f t="shared" si="5"/>
        <v>-15</v>
      </c>
      <c r="S10" s="72"/>
      <c r="T10" s="71"/>
      <c r="U10" s="76">
        <f t="shared" si="0"/>
        <v>134.44859000000008</v>
      </c>
      <c r="W10" s="86"/>
    </row>
    <row r="11" spans="1:23" ht="12.75">
      <c r="A11" s="2">
        <v>9</v>
      </c>
      <c r="B11" s="109" t="s">
        <v>63</v>
      </c>
      <c r="C11" s="67">
        <f>'2014年6月'!U11</f>
        <v>144.1423900000001</v>
      </c>
      <c r="D11" s="68">
        <v>1</v>
      </c>
      <c r="E11" s="69"/>
      <c r="F11" s="70">
        <f t="shared" si="1"/>
        <v>-17.6471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-17.647</v>
      </c>
      <c r="P11" s="90">
        <v>1</v>
      </c>
      <c r="Q11" s="99"/>
      <c r="R11" s="70">
        <f t="shared" si="5"/>
        <v>-15</v>
      </c>
      <c r="S11" s="68"/>
      <c r="T11" s="71"/>
      <c r="U11" s="76">
        <f t="shared" si="0"/>
        <v>93.8482900000001</v>
      </c>
      <c r="W11" s="86"/>
    </row>
    <row r="12" spans="1:23" ht="12.75">
      <c r="A12" s="2">
        <v>10</v>
      </c>
      <c r="B12" s="79" t="s">
        <v>193</v>
      </c>
      <c r="C12" s="61">
        <f>'2014年6月'!U12</f>
        <v>215.44759</v>
      </c>
      <c r="D12" s="62">
        <v>1</v>
      </c>
      <c r="E12" s="63"/>
      <c r="F12" s="64">
        <f t="shared" si="1"/>
        <v>-17.6471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-15</v>
      </c>
      <c r="S12" s="62"/>
      <c r="T12" s="66"/>
      <c r="U12" s="76">
        <f t="shared" si="0"/>
        <v>182.80049</v>
      </c>
      <c r="W12" s="86"/>
    </row>
    <row r="13" spans="1:23" ht="12.75">
      <c r="A13" s="2">
        <v>11</v>
      </c>
      <c r="B13" s="79" t="s">
        <v>65</v>
      </c>
      <c r="C13" s="61">
        <f>'2014年6月'!U13</f>
        <v>4.1195900000000165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-14.2857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-15</v>
      </c>
      <c r="S13" s="65"/>
      <c r="T13" s="66"/>
      <c r="U13" s="76">
        <f t="shared" si="0"/>
        <v>-25.166109999999982</v>
      </c>
      <c r="W13" s="86"/>
    </row>
    <row r="14" spans="1:23" ht="12.75">
      <c r="A14" s="2">
        <v>12</v>
      </c>
      <c r="B14" s="79" t="s">
        <v>66</v>
      </c>
      <c r="C14" s="61">
        <f>'2014年6月'!U14</f>
        <v>11.918290000000004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11.918290000000004</v>
      </c>
      <c r="W14" s="86"/>
    </row>
    <row r="15" spans="1:23" ht="12.75">
      <c r="A15" s="2">
        <v>13</v>
      </c>
      <c r="B15" s="80" t="s">
        <v>67</v>
      </c>
      <c r="C15" s="43">
        <f>'2014年6月'!U15</f>
        <v>151.3542900000001</v>
      </c>
      <c r="D15" s="44">
        <v>1</v>
      </c>
      <c r="E15" s="45"/>
      <c r="F15" s="46">
        <f t="shared" si="1"/>
        <v>-17.6471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-14.2857</v>
      </c>
      <c r="M15" s="44">
        <v>1</v>
      </c>
      <c r="N15" s="45"/>
      <c r="O15" s="46">
        <f t="shared" si="4"/>
        <v>-17.647</v>
      </c>
      <c r="P15" s="93"/>
      <c r="Q15" s="102"/>
      <c r="R15" s="46">
        <f t="shared" si="5"/>
        <v>0</v>
      </c>
      <c r="S15" s="48"/>
      <c r="T15" s="47"/>
      <c r="U15" s="76">
        <f t="shared" si="0"/>
        <v>101.7744900000001</v>
      </c>
      <c r="W15" s="86"/>
    </row>
    <row r="16" spans="1:23" ht="12.75">
      <c r="A16" s="2">
        <v>14</v>
      </c>
      <c r="B16" s="80" t="s">
        <v>53</v>
      </c>
      <c r="C16" s="43">
        <f>'2014年6月'!U16</f>
        <v>42.310990000000004</v>
      </c>
      <c r="D16" s="44">
        <v>1</v>
      </c>
      <c r="E16" s="45"/>
      <c r="F16" s="46">
        <f t="shared" si="1"/>
        <v>-17.6471</v>
      </c>
      <c r="G16" s="44">
        <v>1</v>
      </c>
      <c r="H16" s="45"/>
      <c r="I16" s="46">
        <f t="shared" si="2"/>
        <v>-17.6471</v>
      </c>
      <c r="J16" s="44">
        <v>1</v>
      </c>
      <c r="K16" s="45">
        <v>100</v>
      </c>
      <c r="L16" s="46">
        <f t="shared" si="3"/>
        <v>-14.2857</v>
      </c>
      <c r="M16" s="44">
        <v>1</v>
      </c>
      <c r="N16" s="45"/>
      <c r="O16" s="46">
        <f t="shared" si="4"/>
        <v>-17.647</v>
      </c>
      <c r="P16" s="93">
        <v>1</v>
      </c>
      <c r="Q16" s="102"/>
      <c r="R16" s="46">
        <f t="shared" si="5"/>
        <v>-15</v>
      </c>
      <c r="S16" s="44"/>
      <c r="T16" s="47"/>
      <c r="U16" s="76">
        <f t="shared" si="0"/>
        <v>60.08409</v>
      </c>
      <c r="W16" s="86"/>
    </row>
    <row r="17" spans="1:23" ht="12.75">
      <c r="A17" s="2">
        <v>15</v>
      </c>
      <c r="B17" s="80" t="s">
        <v>94</v>
      </c>
      <c r="C17" s="43">
        <f>'2014年6月'!U17</f>
        <v>92.24349000000004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>
        <v>1</v>
      </c>
      <c r="K17" s="45"/>
      <c r="L17" s="46">
        <f t="shared" si="3"/>
        <v>-14.2857</v>
      </c>
      <c r="M17" s="44">
        <v>1</v>
      </c>
      <c r="N17" s="45"/>
      <c r="O17" s="46">
        <f t="shared" si="4"/>
        <v>-17.647</v>
      </c>
      <c r="P17" s="93">
        <v>1</v>
      </c>
      <c r="Q17" s="102"/>
      <c r="R17" s="46">
        <f t="shared" si="5"/>
        <v>-15</v>
      </c>
      <c r="S17" s="48"/>
      <c r="T17" s="47"/>
      <c r="U17" s="76">
        <f t="shared" si="0"/>
        <v>45.31079000000003</v>
      </c>
      <c r="W17" s="86"/>
    </row>
    <row r="18" spans="1:23" ht="12.75">
      <c r="A18" s="2">
        <v>16</v>
      </c>
      <c r="B18" s="77" t="s">
        <v>182</v>
      </c>
      <c r="C18" s="49">
        <f>'2014年6月'!U18</f>
        <v>9.466590000000012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9.466590000000012</v>
      </c>
      <c r="W18" s="86"/>
    </row>
    <row r="19" spans="1:23" ht="12.75">
      <c r="A19" s="2">
        <v>17</v>
      </c>
      <c r="B19" s="77" t="s">
        <v>69</v>
      </c>
      <c r="C19" s="49">
        <f>'2014年6月'!U19</f>
        <v>25.746890000000064</v>
      </c>
      <c r="D19" s="50">
        <v>1</v>
      </c>
      <c r="E19" s="51"/>
      <c r="F19" s="52">
        <f t="shared" si="1"/>
        <v>-17.6471</v>
      </c>
      <c r="G19" s="50">
        <v>1</v>
      </c>
      <c r="H19" s="51">
        <v>100</v>
      </c>
      <c r="I19" s="52">
        <f t="shared" si="2"/>
        <v>-17.6471</v>
      </c>
      <c r="J19" s="50">
        <v>1</v>
      </c>
      <c r="K19" s="51"/>
      <c r="L19" s="52">
        <f t="shared" si="3"/>
        <v>-14.2857</v>
      </c>
      <c r="M19" s="50">
        <v>1</v>
      </c>
      <c r="N19" s="51"/>
      <c r="O19" s="52">
        <f t="shared" si="4"/>
        <v>-17.647</v>
      </c>
      <c r="P19" s="87">
        <v>1</v>
      </c>
      <c r="Q19" s="96"/>
      <c r="R19" s="52">
        <f t="shared" si="5"/>
        <v>-15</v>
      </c>
      <c r="S19" s="54"/>
      <c r="T19" s="53"/>
      <c r="U19" s="76">
        <f t="shared" si="0"/>
        <v>43.51999000000007</v>
      </c>
      <c r="W19" s="86"/>
    </row>
    <row r="20" spans="1:23" ht="12.75">
      <c r="A20" s="2">
        <v>18</v>
      </c>
      <c r="B20" s="77" t="s">
        <v>97</v>
      </c>
      <c r="C20" s="49">
        <f>'2014年6月'!U20</f>
        <v>65.83159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-15</v>
      </c>
      <c r="S20" s="50"/>
      <c r="T20" s="53"/>
      <c r="U20" s="76">
        <f t="shared" si="0"/>
        <v>50.831590000000006</v>
      </c>
      <c r="W20" s="86"/>
    </row>
    <row r="21" spans="1:23" ht="12.75">
      <c r="A21" s="2">
        <v>19</v>
      </c>
      <c r="B21" s="78" t="s">
        <v>169</v>
      </c>
      <c r="C21" s="55">
        <f>'2014年6月'!U21</f>
        <v>-19.63800999999998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-19.63800999999998</v>
      </c>
      <c r="W21" s="86"/>
    </row>
    <row r="22" spans="1:23" ht="12.75">
      <c r="A22" s="2">
        <v>20</v>
      </c>
      <c r="B22" s="78" t="s">
        <v>72</v>
      </c>
      <c r="C22" s="55">
        <f>'2014年6月'!U22</f>
        <v>84.64018999999999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/>
      <c r="U22" s="76">
        <f t="shared" si="0"/>
        <v>84.64018999999999</v>
      </c>
      <c r="W22" s="86"/>
    </row>
    <row r="23" spans="1:23" ht="12.75">
      <c r="A23" s="2">
        <v>21</v>
      </c>
      <c r="B23" s="78" t="s">
        <v>73</v>
      </c>
      <c r="C23" s="55">
        <f>'2014年6月'!U23</f>
        <v>364.23208999999986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-17.6471</v>
      </c>
      <c r="J23" s="56">
        <v>1</v>
      </c>
      <c r="K23" s="57"/>
      <c r="L23" s="58">
        <f t="shared" si="3"/>
        <v>-14.2857</v>
      </c>
      <c r="M23" s="56">
        <v>1</v>
      </c>
      <c r="N23" s="57"/>
      <c r="O23" s="58">
        <f t="shared" si="4"/>
        <v>-17.647</v>
      </c>
      <c r="P23" s="89">
        <v>1</v>
      </c>
      <c r="Q23" s="98"/>
      <c r="R23" s="58">
        <f t="shared" si="5"/>
        <v>-15</v>
      </c>
      <c r="S23" s="60"/>
      <c r="T23" s="59"/>
      <c r="U23" s="76">
        <f t="shared" si="0"/>
        <v>299.6522899999998</v>
      </c>
      <c r="W23" s="86"/>
    </row>
    <row r="24" spans="1:23" ht="12.75">
      <c r="A24" s="2">
        <v>22</v>
      </c>
      <c r="B24" s="81" t="s">
        <v>74</v>
      </c>
      <c r="C24" s="67">
        <f>'2014年6月'!U24</f>
        <v>106.91159000000007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-17.6471</v>
      </c>
      <c r="J24" s="68">
        <v>1</v>
      </c>
      <c r="K24" s="69"/>
      <c r="L24" s="70">
        <f t="shared" si="3"/>
        <v>-14.2857</v>
      </c>
      <c r="M24" s="68"/>
      <c r="N24" s="69"/>
      <c r="O24" s="70">
        <f t="shared" si="4"/>
        <v>0</v>
      </c>
      <c r="P24" s="90"/>
      <c r="Q24" s="99"/>
      <c r="R24" s="70">
        <f t="shared" si="5"/>
        <v>0</v>
      </c>
      <c r="S24" s="68"/>
      <c r="T24" s="71"/>
      <c r="U24" s="76">
        <f t="shared" si="0"/>
        <v>74.97879000000007</v>
      </c>
      <c r="W24" s="86"/>
    </row>
    <row r="25" spans="1:23" ht="12.75">
      <c r="A25" s="2">
        <v>23</v>
      </c>
      <c r="B25" s="81" t="s">
        <v>75</v>
      </c>
      <c r="C25" s="67">
        <f>'2014年6月'!U25</f>
        <v>97.04888999999999</v>
      </c>
      <c r="D25" s="68">
        <v>1</v>
      </c>
      <c r="E25" s="69"/>
      <c r="F25" s="70">
        <f t="shared" si="1"/>
        <v>-17.6471</v>
      </c>
      <c r="G25" s="68">
        <v>1</v>
      </c>
      <c r="H25" s="69"/>
      <c r="I25" s="70">
        <f t="shared" si="2"/>
        <v>-17.6471</v>
      </c>
      <c r="J25" s="68">
        <v>1</v>
      </c>
      <c r="K25" s="69"/>
      <c r="L25" s="70">
        <f t="shared" si="3"/>
        <v>-14.2857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47.46899</v>
      </c>
      <c r="W25" s="86"/>
    </row>
    <row r="26" spans="1:23" ht="12.75">
      <c r="A26" s="2">
        <v>24</v>
      </c>
      <c r="B26" s="81" t="s">
        <v>92</v>
      </c>
      <c r="C26" s="67">
        <f>'2014年6月'!U26</f>
        <v>-77.61980999999994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-77.61980999999994</v>
      </c>
      <c r="W26" s="86"/>
    </row>
    <row r="27" spans="1:23" ht="12.75">
      <c r="A27" s="2">
        <v>25</v>
      </c>
      <c r="B27" s="79" t="s">
        <v>98</v>
      </c>
      <c r="C27" s="61">
        <f>'2014年6月'!U27</f>
        <v>102.41979000000002</v>
      </c>
      <c r="D27" s="62">
        <v>1</v>
      </c>
      <c r="E27" s="73"/>
      <c r="F27" s="64">
        <f t="shared" si="1"/>
        <v>-17.6471</v>
      </c>
      <c r="G27" s="62"/>
      <c r="H27" s="73"/>
      <c r="I27" s="64">
        <f t="shared" si="2"/>
        <v>0</v>
      </c>
      <c r="J27" s="62">
        <v>1</v>
      </c>
      <c r="K27" s="73"/>
      <c r="L27" s="64">
        <f t="shared" si="3"/>
        <v>-14.2857</v>
      </c>
      <c r="M27" s="62">
        <v>1</v>
      </c>
      <c r="N27" s="73"/>
      <c r="O27" s="64">
        <f t="shared" si="4"/>
        <v>-17.647</v>
      </c>
      <c r="P27" s="92"/>
      <c r="Q27" s="101"/>
      <c r="R27" s="64">
        <f t="shared" si="5"/>
        <v>0</v>
      </c>
      <c r="S27" s="62"/>
      <c r="T27" s="66"/>
      <c r="U27" s="76">
        <f t="shared" si="0"/>
        <v>52.83999000000002</v>
      </c>
      <c r="W27" s="86"/>
    </row>
    <row r="28" spans="1:23" ht="12.75">
      <c r="A28" s="2">
        <v>26</v>
      </c>
      <c r="B28" s="79" t="s">
        <v>99</v>
      </c>
      <c r="C28" s="61">
        <f>'2014年6月'!U28</f>
        <v>245.22889000000004</v>
      </c>
      <c r="D28" s="65"/>
      <c r="E28" s="73"/>
      <c r="F28" s="64">
        <f t="shared" si="1"/>
        <v>0</v>
      </c>
      <c r="G28" s="65">
        <v>1</v>
      </c>
      <c r="H28" s="73"/>
      <c r="I28" s="64">
        <f t="shared" si="2"/>
        <v>-17.6471</v>
      </c>
      <c r="J28" s="65">
        <v>1</v>
      </c>
      <c r="K28" s="73"/>
      <c r="L28" s="64">
        <f t="shared" si="3"/>
        <v>-14.2857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/>
      <c r="T28" s="66"/>
      <c r="U28" s="76">
        <f t="shared" si="0"/>
        <v>213.29609000000005</v>
      </c>
      <c r="W28" s="86"/>
    </row>
    <row r="29" spans="1:23" ht="12.75">
      <c r="A29" s="2">
        <v>27</v>
      </c>
      <c r="B29" s="79" t="s">
        <v>100</v>
      </c>
      <c r="C29" s="61">
        <f>'2014年6月'!U29</f>
        <v>32.32318999999998</v>
      </c>
      <c r="D29" s="62">
        <v>1</v>
      </c>
      <c r="E29" s="63"/>
      <c r="F29" s="64">
        <f t="shared" si="1"/>
        <v>-17.6471</v>
      </c>
      <c r="G29" s="62">
        <v>1</v>
      </c>
      <c r="H29" s="63">
        <v>100</v>
      </c>
      <c r="I29" s="64">
        <f t="shared" si="2"/>
        <v>-17.6471</v>
      </c>
      <c r="J29" s="62">
        <v>1</v>
      </c>
      <c r="K29" s="63"/>
      <c r="L29" s="64">
        <f t="shared" si="3"/>
        <v>-14.2857</v>
      </c>
      <c r="M29" s="62"/>
      <c r="N29" s="63"/>
      <c r="O29" s="64">
        <f t="shared" si="4"/>
        <v>0</v>
      </c>
      <c r="P29" s="92">
        <v>1</v>
      </c>
      <c r="Q29" s="101"/>
      <c r="R29" s="64">
        <f t="shared" si="5"/>
        <v>-15</v>
      </c>
      <c r="S29" s="62"/>
      <c r="T29" s="66"/>
      <c r="U29" s="76">
        <f t="shared" si="0"/>
        <v>67.74328999999999</v>
      </c>
      <c r="W29" s="86"/>
    </row>
    <row r="30" spans="1:23" ht="12.75">
      <c r="A30" s="2">
        <v>28</v>
      </c>
      <c r="B30" s="80" t="s">
        <v>80</v>
      </c>
      <c r="C30" s="43">
        <f>'2014年6月'!U30</f>
        <v>107.97410000000002</v>
      </c>
      <c r="D30" s="48">
        <v>1</v>
      </c>
      <c r="E30" s="74"/>
      <c r="F30" s="46">
        <f t="shared" si="1"/>
        <v>-17.6471</v>
      </c>
      <c r="G30" s="48">
        <v>1</v>
      </c>
      <c r="H30" s="74"/>
      <c r="I30" s="46">
        <f t="shared" si="2"/>
        <v>-17.6471</v>
      </c>
      <c r="J30" s="48">
        <v>1</v>
      </c>
      <c r="K30" s="74"/>
      <c r="L30" s="46">
        <f t="shared" si="3"/>
        <v>-14.2857</v>
      </c>
      <c r="M30" s="48">
        <v>1</v>
      </c>
      <c r="N30" s="74"/>
      <c r="O30" s="46">
        <f t="shared" si="4"/>
        <v>-17.647</v>
      </c>
      <c r="P30" s="95">
        <v>1</v>
      </c>
      <c r="Q30" s="104"/>
      <c r="R30" s="46">
        <f t="shared" si="5"/>
        <v>-15</v>
      </c>
      <c r="S30" s="48"/>
      <c r="T30" s="47"/>
      <c r="U30" s="76">
        <f t="shared" si="0"/>
        <v>25.747200000000035</v>
      </c>
      <c r="V30" s="28"/>
      <c r="W30" s="86"/>
    </row>
    <row r="31" spans="1:23" ht="12.75">
      <c r="A31" s="2">
        <v>29</v>
      </c>
      <c r="B31" s="80" t="s">
        <v>52</v>
      </c>
      <c r="C31" s="43">
        <f>'2014年6月'!U31</f>
        <v>0.4799900000000008</v>
      </c>
      <c r="D31" s="44">
        <v>1</v>
      </c>
      <c r="E31" s="74">
        <v>100</v>
      </c>
      <c r="F31" s="46">
        <f t="shared" si="1"/>
        <v>-17.6471</v>
      </c>
      <c r="G31" s="44">
        <v>1</v>
      </c>
      <c r="H31" s="74"/>
      <c r="I31" s="46">
        <f t="shared" si="2"/>
        <v>-17.6471</v>
      </c>
      <c r="J31" s="44">
        <v>1</v>
      </c>
      <c r="K31" s="74"/>
      <c r="L31" s="46">
        <f t="shared" si="3"/>
        <v>-14.2857</v>
      </c>
      <c r="M31" s="44">
        <v>1</v>
      </c>
      <c r="N31" s="74"/>
      <c r="O31" s="46">
        <f t="shared" si="4"/>
        <v>-17.647</v>
      </c>
      <c r="P31" s="93">
        <v>1</v>
      </c>
      <c r="Q31" s="102"/>
      <c r="R31" s="46">
        <f t="shared" si="5"/>
        <v>-15</v>
      </c>
      <c r="S31" s="44"/>
      <c r="T31" s="47"/>
      <c r="U31" s="76">
        <f t="shared" si="0"/>
        <v>18.253090000000014</v>
      </c>
      <c r="W31" s="86"/>
    </row>
    <row r="32" spans="1:23" ht="12.75">
      <c r="A32" s="2">
        <v>30</v>
      </c>
      <c r="B32" s="80" t="s">
        <v>170</v>
      </c>
      <c r="C32" s="43">
        <f>'2014年6月'!U32</f>
        <v>8.774690000000014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8.774690000000014</v>
      </c>
      <c r="W32" s="86"/>
    </row>
    <row r="33" spans="1:23" ht="12.75">
      <c r="A33" s="2">
        <v>31</v>
      </c>
      <c r="B33" s="77" t="s">
        <v>104</v>
      </c>
      <c r="C33" s="49">
        <f>'2014年6月'!U33</f>
        <v>-17.548610000000004</v>
      </c>
      <c r="D33" s="50">
        <v>1</v>
      </c>
      <c r="E33" s="51">
        <v>200</v>
      </c>
      <c r="F33" s="52">
        <f t="shared" si="1"/>
        <v>-17.6471</v>
      </c>
      <c r="G33" s="50">
        <v>1</v>
      </c>
      <c r="H33" s="51"/>
      <c r="I33" s="52">
        <f t="shared" si="2"/>
        <v>-17.6471</v>
      </c>
      <c r="J33" s="50">
        <v>1</v>
      </c>
      <c r="K33" s="51"/>
      <c r="L33" s="52">
        <f t="shared" si="3"/>
        <v>-14.2857</v>
      </c>
      <c r="M33" s="50">
        <v>1</v>
      </c>
      <c r="N33" s="51"/>
      <c r="O33" s="52">
        <f t="shared" si="4"/>
        <v>-17.647</v>
      </c>
      <c r="P33" s="87">
        <v>1</v>
      </c>
      <c r="Q33" s="96"/>
      <c r="R33" s="52">
        <f t="shared" si="5"/>
        <v>-15</v>
      </c>
      <c r="S33" s="50"/>
      <c r="T33" s="53"/>
      <c r="U33" s="76">
        <f t="shared" si="0"/>
        <v>100.22449000000003</v>
      </c>
      <c r="W33" s="86"/>
    </row>
    <row r="34" spans="1:23" ht="12.75">
      <c r="A34" s="2">
        <v>32</v>
      </c>
      <c r="B34" s="77" t="s">
        <v>190</v>
      </c>
      <c r="C34" s="49">
        <f>'2014年6月'!U34</f>
        <v>52.762990000000016</v>
      </c>
      <c r="D34" s="50">
        <v>1</v>
      </c>
      <c r="E34" s="51"/>
      <c r="F34" s="52">
        <f t="shared" si="1"/>
        <v>-17.6471</v>
      </c>
      <c r="G34" s="85">
        <v>1</v>
      </c>
      <c r="H34" s="51"/>
      <c r="I34" s="52">
        <f t="shared" si="2"/>
        <v>-17.6471</v>
      </c>
      <c r="J34" s="85">
        <v>1</v>
      </c>
      <c r="K34" s="51">
        <v>200</v>
      </c>
      <c r="L34" s="52">
        <f t="shared" si="3"/>
        <v>-14.2857</v>
      </c>
      <c r="M34" s="50"/>
      <c r="N34" s="51"/>
      <c r="O34" s="52">
        <f t="shared" si="4"/>
        <v>0</v>
      </c>
      <c r="P34" s="87">
        <v>1</v>
      </c>
      <c r="Q34" s="96"/>
      <c r="R34" s="52">
        <f t="shared" si="5"/>
        <v>-15</v>
      </c>
      <c r="S34" s="54"/>
      <c r="T34" s="53"/>
      <c r="U34" s="76">
        <f t="shared" si="0"/>
        <v>188.18309000000002</v>
      </c>
      <c r="W34" s="86"/>
    </row>
    <row r="35" spans="1:23" ht="12.75">
      <c r="A35" s="2">
        <v>33</v>
      </c>
      <c r="B35" s="77" t="s">
        <v>207</v>
      </c>
      <c r="C35" s="49">
        <f>'2014年6月'!U35</f>
        <v>39.84279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39.84279</v>
      </c>
      <c r="W35" s="86"/>
    </row>
    <row r="36" spans="1:23" ht="12.75">
      <c r="A36" s="2">
        <v>34</v>
      </c>
      <c r="B36" s="78" t="s">
        <v>101</v>
      </c>
      <c r="C36" s="55">
        <f>'2014年6月'!U36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'2014年6月'!U37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'2014年6月'!U38</f>
        <v>78.42869000000002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78.42869000000002</v>
      </c>
      <c r="W38" s="86"/>
    </row>
    <row r="39" spans="1:23" ht="12.75">
      <c r="A39" s="2">
        <v>37</v>
      </c>
      <c r="B39" s="81" t="s">
        <v>200</v>
      </c>
      <c r="C39" s="67">
        <f>'2014年6月'!U39</f>
        <v>78.9583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78.9583</v>
      </c>
      <c r="W39" s="86"/>
    </row>
    <row r="40" spans="1:23" ht="12.75">
      <c r="A40" s="2">
        <v>38</v>
      </c>
      <c r="B40" s="81"/>
      <c r="C40" s="67">
        <f>'2014年6月'!U40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'2014年6月'!U41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17</v>
      </c>
      <c r="F43" s="1">
        <f>E54/D43</f>
        <v>17.647058823529413</v>
      </c>
      <c r="G43" s="1">
        <f>SUM(G3:G41)</f>
        <v>17</v>
      </c>
      <c r="I43" s="1">
        <f>H54/G43</f>
        <v>17.647058823529413</v>
      </c>
      <c r="J43" s="1">
        <f>SUM(J3:J41)</f>
        <v>21</v>
      </c>
      <c r="L43" s="1">
        <f>K54/J43</f>
        <v>14.285714285714286</v>
      </c>
      <c r="M43" s="1">
        <f>SUM(M3:M41)</f>
        <v>17</v>
      </c>
      <c r="O43" s="1">
        <f>N54/M43</f>
        <v>17.647058823529413</v>
      </c>
      <c r="P43" s="1">
        <f>SUM(P3:P41)</f>
        <v>20</v>
      </c>
      <c r="R43" s="1">
        <f>Q54/P43</f>
        <v>15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-300.0007</v>
      </c>
      <c r="H45" s="28" t="s">
        <v>84</v>
      </c>
      <c r="I45" s="1">
        <f>SUM(I3:I41)</f>
        <v>-300.0007</v>
      </c>
      <c r="K45" s="28" t="s">
        <v>84</v>
      </c>
      <c r="L45" s="1">
        <f>SUM(L3:L41)</f>
        <v>-299.9997</v>
      </c>
      <c r="N45" s="28" t="s">
        <v>84</v>
      </c>
      <c r="O45" s="1">
        <f>SUM(O3:O41)</f>
        <v>-299.9989999999999</v>
      </c>
      <c r="Q45" s="28" t="s">
        <v>84</v>
      </c>
      <c r="R45" s="1">
        <f>SUM(R3:R41)</f>
        <v>-300</v>
      </c>
      <c r="U45" s="19"/>
    </row>
    <row r="46" spans="2:21" ht="12.75">
      <c r="B46" s="29" t="s">
        <v>85</v>
      </c>
      <c r="C46" s="27">
        <f>SUM(C3:C41)</f>
        <v>2519.999170000001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2499.9990700000003</v>
      </c>
      <c r="W47" s="86">
        <f>U47</f>
        <v>2499.9990700000003</v>
      </c>
    </row>
    <row r="48" spans="2:20" ht="12.75" customHeight="1">
      <c r="B48" s="86"/>
      <c r="D48" s="117" t="s">
        <v>284</v>
      </c>
      <c r="E48" s="118"/>
      <c r="F48" s="119"/>
      <c r="G48" s="117" t="s">
        <v>285</v>
      </c>
      <c r="H48" s="118"/>
      <c r="I48" s="119"/>
      <c r="J48" s="117" t="s">
        <v>286</v>
      </c>
      <c r="K48" s="118"/>
      <c r="L48" s="119"/>
      <c r="M48" s="117" t="s">
        <v>287</v>
      </c>
      <c r="N48" s="118"/>
      <c r="O48" s="119"/>
      <c r="P48" s="117" t="s">
        <v>288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82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K72" s="28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M77" s="105"/>
      <c r="P77" s="105"/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98"/>
  <sheetViews>
    <sheetView tabSelected="1" workbookViewId="0" topLeftCell="A1">
      <pane ySplit="2" topLeftCell="BM12" activePane="bottomLeft" state="frozen"/>
      <selection pane="topLeft" activeCell="A1" sqref="A1"/>
      <selection pane="bottomLeft" activeCell="T30" sqref="T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41875</v>
      </c>
      <c r="E1" s="126"/>
      <c r="F1" s="127"/>
      <c r="G1" s="16"/>
      <c r="H1" s="24">
        <v>41882</v>
      </c>
      <c r="I1" s="17"/>
      <c r="J1" s="30"/>
      <c r="K1" s="24">
        <v>41889</v>
      </c>
      <c r="L1" s="31"/>
      <c r="M1" s="16"/>
      <c r="N1" s="24">
        <v>41896</v>
      </c>
      <c r="O1" s="17"/>
      <c r="P1" s="16"/>
      <c r="Q1" s="24">
        <v>41903</v>
      </c>
      <c r="R1" s="17"/>
      <c r="S1" s="128"/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'2014年8月'!U3</f>
        <v>74.49169000000003</v>
      </c>
      <c r="D3" s="50">
        <v>1</v>
      </c>
      <c r="E3" s="51"/>
      <c r="F3" s="52">
        <f>-14.2857*D3</f>
        <v>-14.2857</v>
      </c>
      <c r="G3" s="50">
        <v>1</v>
      </c>
      <c r="H3" s="51"/>
      <c r="I3" s="52">
        <f>-14.2857*G3</f>
        <v>-14.2857</v>
      </c>
      <c r="J3" s="50"/>
      <c r="K3" s="51"/>
      <c r="L3" s="52"/>
      <c r="M3" s="50"/>
      <c r="N3" s="51"/>
      <c r="O3" s="52"/>
      <c r="P3" s="87"/>
      <c r="Q3" s="96"/>
      <c r="R3" s="52"/>
      <c r="S3" s="50"/>
      <c r="T3" s="53"/>
      <c r="U3" s="76">
        <f aca="true" t="shared" si="0" ref="U3:U41">C3+E3+F3+H3+I3+K3+L3+N3+O3+T3+Q3+R3</f>
        <v>45.92029000000004</v>
      </c>
      <c r="W3" s="86"/>
    </row>
    <row r="4" spans="1:23" ht="12.75">
      <c r="A4" s="2">
        <v>2</v>
      </c>
      <c r="B4" s="75" t="s">
        <v>3</v>
      </c>
      <c r="C4" s="49">
        <f>'2014年8月'!U4</f>
        <v>86.1744900000001</v>
      </c>
      <c r="D4" s="50">
        <v>2</v>
      </c>
      <c r="E4" s="51"/>
      <c r="F4" s="52">
        <f aca="true" t="shared" si="1" ref="F4:F41">-14.2857*D4</f>
        <v>-28.5714</v>
      </c>
      <c r="G4" s="50">
        <v>1</v>
      </c>
      <c r="H4" s="51"/>
      <c r="I4" s="52">
        <f aca="true" t="shared" si="2" ref="I4:I41">-14.2857*G4</f>
        <v>-14.2857</v>
      </c>
      <c r="J4" s="50"/>
      <c r="K4" s="51"/>
      <c r="L4" s="52"/>
      <c r="M4" s="50"/>
      <c r="N4" s="51"/>
      <c r="O4" s="52"/>
      <c r="P4" s="87"/>
      <c r="Q4" s="96"/>
      <c r="R4" s="52"/>
      <c r="S4" s="54"/>
      <c r="T4" s="53"/>
      <c r="U4" s="76">
        <f t="shared" si="0"/>
        <v>43.31739000000011</v>
      </c>
      <c r="W4" s="86"/>
    </row>
    <row r="5" spans="1:23" ht="12.75">
      <c r="A5" s="2">
        <v>3</v>
      </c>
      <c r="B5" s="77" t="s">
        <v>289</v>
      </c>
      <c r="C5" s="49">
        <f>'2014年8月'!U5</f>
        <v>12.492690000000042</v>
      </c>
      <c r="D5" s="50"/>
      <c r="E5" s="51"/>
      <c r="F5" s="52">
        <f t="shared" si="1"/>
        <v>0</v>
      </c>
      <c r="G5" s="50">
        <v>1</v>
      </c>
      <c r="H5" s="51"/>
      <c r="I5" s="52">
        <f t="shared" si="2"/>
        <v>-14.2857</v>
      </c>
      <c r="J5" s="50"/>
      <c r="K5" s="51"/>
      <c r="L5" s="52"/>
      <c r="M5" s="50"/>
      <c r="N5" s="51"/>
      <c r="O5" s="52"/>
      <c r="P5" s="87"/>
      <c r="Q5" s="96"/>
      <c r="R5" s="52"/>
      <c r="S5" s="50"/>
      <c r="T5" s="53"/>
      <c r="U5" s="76">
        <f t="shared" si="0"/>
        <v>-1.793009999999958</v>
      </c>
      <c r="W5" s="86"/>
    </row>
    <row r="6" spans="1:23" ht="12.75">
      <c r="A6" s="2">
        <v>4</v>
      </c>
      <c r="B6" s="110">
        <v>9631</v>
      </c>
      <c r="C6" s="55">
        <f>'2014年8月'!U6</f>
        <v>8.550489999999996</v>
      </c>
      <c r="D6" s="60">
        <v>1</v>
      </c>
      <c r="E6" s="57"/>
      <c r="F6" s="58">
        <f t="shared" si="1"/>
        <v>-14.2857</v>
      </c>
      <c r="G6" s="60"/>
      <c r="H6" s="57"/>
      <c r="I6" s="58">
        <f t="shared" si="2"/>
        <v>0</v>
      </c>
      <c r="J6" s="60"/>
      <c r="K6" s="57"/>
      <c r="L6" s="58"/>
      <c r="M6" s="60"/>
      <c r="N6" s="57"/>
      <c r="O6" s="58"/>
      <c r="P6" s="88"/>
      <c r="Q6" s="97"/>
      <c r="R6" s="58"/>
      <c r="S6" s="60"/>
      <c r="T6" s="59"/>
      <c r="U6" s="76">
        <f t="shared" si="0"/>
        <v>-5.735210000000004</v>
      </c>
      <c r="W6" s="86"/>
    </row>
    <row r="7" spans="1:23" ht="12.75">
      <c r="A7" s="2">
        <v>5</v>
      </c>
      <c r="B7" s="78" t="s">
        <v>290</v>
      </c>
      <c r="C7" s="55">
        <f>'2014年8月'!U7</f>
        <v>117.52839000000006</v>
      </c>
      <c r="D7" s="56">
        <v>1</v>
      </c>
      <c r="E7" s="57"/>
      <c r="F7" s="58">
        <f t="shared" si="1"/>
        <v>-14.2857</v>
      </c>
      <c r="G7" s="56">
        <v>1</v>
      </c>
      <c r="H7" s="57"/>
      <c r="I7" s="58">
        <f t="shared" si="2"/>
        <v>-14.2857</v>
      </c>
      <c r="J7" s="56"/>
      <c r="K7" s="57"/>
      <c r="L7" s="58"/>
      <c r="M7" s="56"/>
      <c r="N7" s="57"/>
      <c r="O7" s="58"/>
      <c r="P7" s="89"/>
      <c r="Q7" s="98"/>
      <c r="R7" s="58"/>
      <c r="S7" s="56"/>
      <c r="T7" s="59"/>
      <c r="U7" s="76">
        <f t="shared" si="0"/>
        <v>88.95699000000005</v>
      </c>
      <c r="W7" s="86"/>
    </row>
    <row r="8" spans="1:23" ht="12.75">
      <c r="A8" s="2">
        <v>6</v>
      </c>
      <c r="B8" s="78" t="s">
        <v>291</v>
      </c>
      <c r="C8" s="55">
        <f>'2014年8月'!U8</f>
        <v>121.03429000000006</v>
      </c>
      <c r="D8" s="56">
        <v>1</v>
      </c>
      <c r="E8" s="57"/>
      <c r="F8" s="58">
        <f t="shared" si="1"/>
        <v>-14.2857</v>
      </c>
      <c r="G8" s="56">
        <v>1</v>
      </c>
      <c r="H8" s="57"/>
      <c r="I8" s="58">
        <f t="shared" si="2"/>
        <v>-14.2857</v>
      </c>
      <c r="J8" s="56"/>
      <c r="K8" s="57"/>
      <c r="L8" s="58"/>
      <c r="M8" s="56"/>
      <c r="N8" s="57"/>
      <c r="O8" s="58"/>
      <c r="P8" s="89"/>
      <c r="Q8" s="98"/>
      <c r="R8" s="58"/>
      <c r="S8" s="60"/>
      <c r="T8" s="59"/>
      <c r="U8" s="76">
        <f t="shared" si="0"/>
        <v>92.46289000000004</v>
      </c>
      <c r="W8" s="86"/>
    </row>
    <row r="9" spans="1:23" ht="12.75">
      <c r="A9" s="2">
        <v>7</v>
      </c>
      <c r="B9" s="109" t="s">
        <v>292</v>
      </c>
      <c r="C9" s="67">
        <f>'2014年8月'!U9</f>
        <v>32.49499000000001</v>
      </c>
      <c r="D9" s="68">
        <v>1</v>
      </c>
      <c r="E9" s="69"/>
      <c r="F9" s="70">
        <f t="shared" si="1"/>
        <v>-14.2857</v>
      </c>
      <c r="G9" s="68">
        <v>1</v>
      </c>
      <c r="H9" s="69">
        <v>100</v>
      </c>
      <c r="I9" s="70">
        <f t="shared" si="2"/>
        <v>-14.2857</v>
      </c>
      <c r="J9" s="68"/>
      <c r="K9" s="69"/>
      <c r="L9" s="70"/>
      <c r="M9" s="68"/>
      <c r="N9" s="69"/>
      <c r="O9" s="70"/>
      <c r="P9" s="90"/>
      <c r="Q9" s="99"/>
      <c r="R9" s="70"/>
      <c r="S9" s="68"/>
      <c r="T9" s="71"/>
      <c r="U9" s="76">
        <f t="shared" si="0"/>
        <v>103.92359</v>
      </c>
      <c r="W9" s="86"/>
    </row>
    <row r="10" spans="1:23" ht="12.75">
      <c r="A10" s="2">
        <v>8</v>
      </c>
      <c r="B10" s="81" t="s">
        <v>293</v>
      </c>
      <c r="C10" s="67">
        <f>'2014年8月'!U10</f>
        <v>134.44859000000008</v>
      </c>
      <c r="D10" s="72">
        <v>1</v>
      </c>
      <c r="E10" s="69"/>
      <c r="F10" s="70">
        <f t="shared" si="1"/>
        <v>-14.2857</v>
      </c>
      <c r="G10" s="72">
        <v>1</v>
      </c>
      <c r="H10" s="69">
        <v>200</v>
      </c>
      <c r="I10" s="70">
        <f t="shared" si="2"/>
        <v>-14.2857</v>
      </c>
      <c r="J10" s="72"/>
      <c r="K10" s="69"/>
      <c r="L10" s="70"/>
      <c r="M10" s="72"/>
      <c r="N10" s="69"/>
      <c r="O10" s="70"/>
      <c r="P10" s="91"/>
      <c r="Q10" s="100"/>
      <c r="R10" s="70"/>
      <c r="S10" s="72"/>
      <c r="T10" s="71"/>
      <c r="U10" s="76">
        <f t="shared" si="0"/>
        <v>305.87719000000004</v>
      </c>
      <c r="W10" s="86"/>
    </row>
    <row r="11" spans="1:23" ht="12.75">
      <c r="A11" s="2">
        <v>9</v>
      </c>
      <c r="B11" s="109" t="s">
        <v>294</v>
      </c>
      <c r="C11" s="67">
        <f>'2014年8月'!U11</f>
        <v>93.8482900000001</v>
      </c>
      <c r="D11" s="68">
        <v>1</v>
      </c>
      <c r="E11" s="69"/>
      <c r="F11" s="70">
        <f t="shared" si="1"/>
        <v>-14.2857</v>
      </c>
      <c r="G11" s="68">
        <v>1</v>
      </c>
      <c r="H11" s="69"/>
      <c r="I11" s="70">
        <f t="shared" si="2"/>
        <v>-14.2857</v>
      </c>
      <c r="J11" s="68"/>
      <c r="K11" s="69"/>
      <c r="L11" s="70"/>
      <c r="M11" s="68"/>
      <c r="N11" s="69"/>
      <c r="O11" s="70"/>
      <c r="P11" s="90"/>
      <c r="Q11" s="99"/>
      <c r="R11" s="70"/>
      <c r="S11" s="68"/>
      <c r="T11" s="71"/>
      <c r="U11" s="76">
        <f t="shared" si="0"/>
        <v>65.2768900000001</v>
      </c>
      <c r="W11" s="86"/>
    </row>
    <row r="12" spans="1:23" ht="12.75">
      <c r="A12" s="2">
        <v>10</v>
      </c>
      <c r="B12" s="79" t="s">
        <v>295</v>
      </c>
      <c r="C12" s="61">
        <f>'2014年8月'!U12</f>
        <v>182.80049</v>
      </c>
      <c r="D12" s="62">
        <v>1</v>
      </c>
      <c r="E12" s="63"/>
      <c r="F12" s="64">
        <f t="shared" si="1"/>
        <v>-14.2857</v>
      </c>
      <c r="G12" s="62">
        <v>1</v>
      </c>
      <c r="H12" s="63"/>
      <c r="I12" s="64">
        <f t="shared" si="2"/>
        <v>-14.2857</v>
      </c>
      <c r="J12" s="62"/>
      <c r="K12" s="63"/>
      <c r="L12" s="64"/>
      <c r="M12" s="62"/>
      <c r="N12" s="63"/>
      <c r="O12" s="64"/>
      <c r="P12" s="92"/>
      <c r="Q12" s="101"/>
      <c r="R12" s="64"/>
      <c r="S12" s="62"/>
      <c r="T12" s="66"/>
      <c r="U12" s="76">
        <f t="shared" si="0"/>
        <v>154.22909</v>
      </c>
      <c r="W12" s="86"/>
    </row>
    <row r="13" spans="1:23" ht="12.75">
      <c r="A13" s="2">
        <v>11</v>
      </c>
      <c r="B13" s="79" t="s">
        <v>296</v>
      </c>
      <c r="C13" s="61">
        <f>'2014年8月'!U13</f>
        <v>-25.166109999999982</v>
      </c>
      <c r="D13" s="62">
        <v>1</v>
      </c>
      <c r="E13" s="63">
        <v>200</v>
      </c>
      <c r="F13" s="64">
        <f t="shared" si="1"/>
        <v>-14.2857</v>
      </c>
      <c r="G13" s="62">
        <v>1</v>
      </c>
      <c r="H13" s="63"/>
      <c r="I13" s="64">
        <f t="shared" si="2"/>
        <v>-14.2857</v>
      </c>
      <c r="J13" s="62"/>
      <c r="K13" s="63"/>
      <c r="L13" s="64"/>
      <c r="M13" s="62"/>
      <c r="N13" s="106"/>
      <c r="O13" s="64"/>
      <c r="P13" s="92"/>
      <c r="Q13" s="101"/>
      <c r="R13" s="64"/>
      <c r="S13" s="65"/>
      <c r="T13" s="66"/>
      <c r="U13" s="76">
        <f t="shared" si="0"/>
        <v>146.26249000000004</v>
      </c>
      <c r="W13" s="86"/>
    </row>
    <row r="14" spans="1:23" ht="12.75">
      <c r="A14" s="2">
        <v>12</v>
      </c>
      <c r="B14" s="79" t="s">
        <v>297</v>
      </c>
      <c r="C14" s="61">
        <f>'2014年8月'!U14</f>
        <v>11.918290000000004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/>
      <c r="M14" s="62"/>
      <c r="N14" s="63"/>
      <c r="O14" s="64"/>
      <c r="P14" s="92"/>
      <c r="Q14" s="101"/>
      <c r="R14" s="64"/>
      <c r="S14" s="62"/>
      <c r="T14" s="66"/>
      <c r="U14" s="76">
        <f t="shared" si="0"/>
        <v>11.918290000000004</v>
      </c>
      <c r="W14" s="86"/>
    </row>
    <row r="15" spans="1:23" ht="12.75">
      <c r="A15" s="2">
        <v>13</v>
      </c>
      <c r="B15" s="80" t="s">
        <v>298</v>
      </c>
      <c r="C15" s="43">
        <f>'2014年8月'!U15</f>
        <v>101.7744900000001</v>
      </c>
      <c r="D15" s="44">
        <v>1</v>
      </c>
      <c r="E15" s="45"/>
      <c r="F15" s="46">
        <f t="shared" si="1"/>
        <v>-14.2857</v>
      </c>
      <c r="G15" s="44">
        <v>1</v>
      </c>
      <c r="H15" s="45"/>
      <c r="I15" s="46">
        <f t="shared" si="2"/>
        <v>-14.2857</v>
      </c>
      <c r="J15" s="44"/>
      <c r="K15" s="45"/>
      <c r="L15" s="46"/>
      <c r="M15" s="44"/>
      <c r="N15" s="45"/>
      <c r="O15" s="46"/>
      <c r="P15" s="93"/>
      <c r="Q15" s="102"/>
      <c r="R15" s="46"/>
      <c r="S15" s="48"/>
      <c r="T15" s="47"/>
      <c r="U15" s="76">
        <f t="shared" si="0"/>
        <v>73.20309000000009</v>
      </c>
      <c r="W15" s="86"/>
    </row>
    <row r="16" spans="1:23" ht="12.75">
      <c r="A16" s="2">
        <v>14</v>
      </c>
      <c r="B16" s="80" t="s">
        <v>299</v>
      </c>
      <c r="C16" s="43">
        <f>'2014年8月'!U16</f>
        <v>60.08409</v>
      </c>
      <c r="D16" s="44">
        <v>1</v>
      </c>
      <c r="E16" s="45"/>
      <c r="F16" s="46">
        <f t="shared" si="1"/>
        <v>-14.2857</v>
      </c>
      <c r="G16" s="44">
        <v>1</v>
      </c>
      <c r="H16" s="45"/>
      <c r="I16" s="46">
        <f t="shared" si="2"/>
        <v>-14.2857</v>
      </c>
      <c r="J16" s="44"/>
      <c r="K16" s="45"/>
      <c r="L16" s="46"/>
      <c r="M16" s="44"/>
      <c r="N16" s="45"/>
      <c r="O16" s="46"/>
      <c r="P16" s="93"/>
      <c r="Q16" s="102"/>
      <c r="R16" s="46"/>
      <c r="S16" s="44"/>
      <c r="T16" s="47"/>
      <c r="U16" s="76">
        <f t="shared" si="0"/>
        <v>31.512690000000006</v>
      </c>
      <c r="W16" s="86"/>
    </row>
    <row r="17" spans="1:23" ht="12.75">
      <c r="A17" s="2">
        <v>15</v>
      </c>
      <c r="B17" s="80" t="s">
        <v>300</v>
      </c>
      <c r="C17" s="43">
        <f>'2014年8月'!U17</f>
        <v>45.31079000000003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/>
      <c r="M17" s="44"/>
      <c r="N17" s="45"/>
      <c r="O17" s="46"/>
      <c r="P17" s="93"/>
      <c r="Q17" s="102"/>
      <c r="R17" s="46"/>
      <c r="S17" s="48"/>
      <c r="T17" s="47"/>
      <c r="U17" s="76">
        <f t="shared" si="0"/>
        <v>45.31079000000003</v>
      </c>
      <c r="W17" s="86"/>
    </row>
    <row r="18" spans="1:23" ht="12.75">
      <c r="A18" s="2">
        <v>16</v>
      </c>
      <c r="B18" s="77" t="s">
        <v>301</v>
      </c>
      <c r="C18" s="49">
        <f>'2014年8月'!U18</f>
        <v>9.466590000000012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/>
      <c r="M18" s="50"/>
      <c r="N18" s="51"/>
      <c r="O18" s="52"/>
      <c r="P18" s="87"/>
      <c r="Q18" s="96"/>
      <c r="R18" s="52"/>
      <c r="S18" s="50"/>
      <c r="T18" s="53"/>
      <c r="U18" s="76">
        <f t="shared" si="0"/>
        <v>9.466590000000012</v>
      </c>
      <c r="W18" s="86"/>
    </row>
    <row r="19" spans="1:23" ht="12.75">
      <c r="A19" s="2">
        <v>17</v>
      </c>
      <c r="B19" s="77" t="s">
        <v>302</v>
      </c>
      <c r="C19" s="49">
        <f>'2014年8月'!U19</f>
        <v>43.51999000000007</v>
      </c>
      <c r="D19" s="50">
        <v>1</v>
      </c>
      <c r="E19" s="51"/>
      <c r="F19" s="52">
        <f t="shared" si="1"/>
        <v>-14.2857</v>
      </c>
      <c r="G19" s="50">
        <v>1</v>
      </c>
      <c r="H19" s="51"/>
      <c r="I19" s="52">
        <f t="shared" si="2"/>
        <v>-14.2857</v>
      </c>
      <c r="J19" s="50"/>
      <c r="K19" s="51"/>
      <c r="L19" s="52"/>
      <c r="M19" s="50"/>
      <c r="N19" s="51"/>
      <c r="O19" s="52"/>
      <c r="P19" s="87"/>
      <c r="Q19" s="96"/>
      <c r="R19" s="52"/>
      <c r="S19" s="54"/>
      <c r="T19" s="53"/>
      <c r="U19" s="76">
        <f t="shared" si="0"/>
        <v>14.948590000000072</v>
      </c>
      <c r="W19" s="86"/>
    </row>
    <row r="20" spans="1:23" ht="12.75">
      <c r="A20" s="2">
        <v>18</v>
      </c>
      <c r="B20" s="77" t="s">
        <v>303</v>
      </c>
      <c r="C20" s="49">
        <f>'2014年8月'!U20</f>
        <v>50.831590000000006</v>
      </c>
      <c r="D20" s="50">
        <v>1</v>
      </c>
      <c r="E20" s="51"/>
      <c r="F20" s="52">
        <f t="shared" si="1"/>
        <v>-14.2857</v>
      </c>
      <c r="G20" s="50"/>
      <c r="H20" s="51"/>
      <c r="I20" s="52">
        <f t="shared" si="2"/>
        <v>0</v>
      </c>
      <c r="J20" s="50"/>
      <c r="K20" s="51"/>
      <c r="L20" s="52"/>
      <c r="M20" s="50"/>
      <c r="N20" s="51"/>
      <c r="O20" s="52"/>
      <c r="P20" s="87"/>
      <c r="Q20" s="96"/>
      <c r="R20" s="52"/>
      <c r="S20" s="50"/>
      <c r="T20" s="53"/>
      <c r="U20" s="76">
        <f t="shared" si="0"/>
        <v>36.54589000000001</v>
      </c>
      <c r="W20" s="86"/>
    </row>
    <row r="21" spans="1:23" ht="12.75">
      <c r="A21" s="2">
        <v>19</v>
      </c>
      <c r="B21" s="78" t="s">
        <v>304</v>
      </c>
      <c r="C21" s="55">
        <f>'2014年8月'!U21</f>
        <v>-19.63800999999998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/>
      <c r="M21" s="56"/>
      <c r="N21" s="57"/>
      <c r="O21" s="58"/>
      <c r="P21" s="89"/>
      <c r="Q21" s="98"/>
      <c r="R21" s="58"/>
      <c r="S21" s="60"/>
      <c r="T21" s="59"/>
      <c r="U21" s="76">
        <f t="shared" si="0"/>
        <v>-19.63800999999998</v>
      </c>
      <c r="W21" s="86"/>
    </row>
    <row r="22" spans="1:23" ht="12.75">
      <c r="A22" s="2">
        <v>20</v>
      </c>
      <c r="B22" s="78" t="s">
        <v>305</v>
      </c>
      <c r="C22" s="55">
        <f>'2014年8月'!U22</f>
        <v>84.64018999999999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/>
      <c r="M22" s="56"/>
      <c r="N22" s="57"/>
      <c r="O22" s="58"/>
      <c r="P22" s="89"/>
      <c r="Q22" s="98"/>
      <c r="R22" s="58"/>
      <c r="S22" s="56"/>
      <c r="T22" s="59"/>
      <c r="U22" s="76">
        <f t="shared" si="0"/>
        <v>84.64018999999999</v>
      </c>
      <c r="W22" s="86"/>
    </row>
    <row r="23" spans="1:23" ht="12.75">
      <c r="A23" s="2">
        <v>21</v>
      </c>
      <c r="B23" s="78" t="s">
        <v>306</v>
      </c>
      <c r="C23" s="55">
        <f>'2014年8月'!U23</f>
        <v>299.6522899999998</v>
      </c>
      <c r="D23" s="56">
        <v>1</v>
      </c>
      <c r="E23" s="57"/>
      <c r="F23" s="58">
        <f t="shared" si="1"/>
        <v>-14.2857</v>
      </c>
      <c r="G23" s="56">
        <v>1</v>
      </c>
      <c r="H23" s="57"/>
      <c r="I23" s="58">
        <f t="shared" si="2"/>
        <v>-14.2857</v>
      </c>
      <c r="J23" s="56"/>
      <c r="K23" s="57"/>
      <c r="L23" s="58"/>
      <c r="M23" s="56"/>
      <c r="N23" s="57"/>
      <c r="O23" s="58"/>
      <c r="P23" s="89"/>
      <c r="Q23" s="98"/>
      <c r="R23" s="58"/>
      <c r="S23" s="60"/>
      <c r="T23" s="59"/>
      <c r="U23" s="76">
        <f t="shared" si="0"/>
        <v>271.0808899999998</v>
      </c>
      <c r="W23" s="86"/>
    </row>
    <row r="24" spans="1:23" ht="12.75">
      <c r="A24" s="2">
        <v>22</v>
      </c>
      <c r="B24" s="81" t="s">
        <v>307</v>
      </c>
      <c r="C24" s="67">
        <f>'2014年8月'!U24</f>
        <v>74.97879000000007</v>
      </c>
      <c r="D24" s="68">
        <v>1</v>
      </c>
      <c r="E24" s="69"/>
      <c r="F24" s="70">
        <f t="shared" si="1"/>
        <v>-14.2857</v>
      </c>
      <c r="G24" s="68">
        <v>1</v>
      </c>
      <c r="H24" s="69"/>
      <c r="I24" s="70">
        <f t="shared" si="2"/>
        <v>-14.2857</v>
      </c>
      <c r="J24" s="68"/>
      <c r="K24" s="69"/>
      <c r="L24" s="70"/>
      <c r="M24" s="68"/>
      <c r="N24" s="69"/>
      <c r="O24" s="70"/>
      <c r="P24" s="90"/>
      <c r="Q24" s="99"/>
      <c r="R24" s="70"/>
      <c r="S24" s="68"/>
      <c r="T24" s="71"/>
      <c r="U24" s="76">
        <f t="shared" si="0"/>
        <v>46.40739000000008</v>
      </c>
      <c r="W24" s="86"/>
    </row>
    <row r="25" spans="1:23" ht="12.75">
      <c r="A25" s="2">
        <v>23</v>
      </c>
      <c r="B25" s="81" t="s">
        <v>308</v>
      </c>
      <c r="C25" s="67">
        <f>'2014年8月'!U25</f>
        <v>47.46899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/>
      <c r="M25" s="68"/>
      <c r="N25" s="69"/>
      <c r="O25" s="70"/>
      <c r="P25" s="90"/>
      <c r="Q25" s="99"/>
      <c r="R25" s="70"/>
      <c r="S25" s="68"/>
      <c r="T25" s="71"/>
      <c r="U25" s="76">
        <f t="shared" si="0"/>
        <v>47.46899</v>
      </c>
      <c r="W25" s="86"/>
    </row>
    <row r="26" spans="1:23" ht="12.75">
      <c r="A26" s="2">
        <v>24</v>
      </c>
      <c r="B26" s="81" t="s">
        <v>309</v>
      </c>
      <c r="C26" s="67">
        <f>'2014年8月'!U26</f>
        <v>-77.61980999999994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/>
      <c r="K26" s="69"/>
      <c r="L26" s="70"/>
      <c r="M26" s="68"/>
      <c r="N26" s="69"/>
      <c r="O26" s="70"/>
      <c r="P26" s="90"/>
      <c r="Q26" s="99"/>
      <c r="R26" s="70"/>
      <c r="S26" s="72"/>
      <c r="T26" s="71"/>
      <c r="U26" s="76">
        <f t="shared" si="0"/>
        <v>-77.61980999999994</v>
      </c>
      <c r="W26" s="86"/>
    </row>
    <row r="27" spans="1:23" ht="12.75">
      <c r="A27" s="2">
        <v>25</v>
      </c>
      <c r="B27" s="79" t="s">
        <v>310</v>
      </c>
      <c r="C27" s="61">
        <f>'2014年8月'!U27</f>
        <v>52.83999000000002</v>
      </c>
      <c r="D27" s="62">
        <v>1</v>
      </c>
      <c r="E27" s="73"/>
      <c r="F27" s="64">
        <f t="shared" si="1"/>
        <v>-14.2857</v>
      </c>
      <c r="G27" s="62"/>
      <c r="H27" s="73"/>
      <c r="I27" s="64">
        <f t="shared" si="2"/>
        <v>0</v>
      </c>
      <c r="J27" s="62"/>
      <c r="K27" s="73"/>
      <c r="L27" s="64"/>
      <c r="M27" s="62"/>
      <c r="N27" s="73"/>
      <c r="O27" s="64"/>
      <c r="P27" s="92"/>
      <c r="Q27" s="101"/>
      <c r="R27" s="64"/>
      <c r="S27" s="62"/>
      <c r="T27" s="66"/>
      <c r="U27" s="76">
        <f t="shared" si="0"/>
        <v>38.55429000000002</v>
      </c>
      <c r="W27" s="86"/>
    </row>
    <row r="28" spans="1:23" ht="12.75">
      <c r="A28" s="2">
        <v>26</v>
      </c>
      <c r="B28" s="79" t="s">
        <v>311</v>
      </c>
      <c r="C28" s="61">
        <f>'2014年8月'!U28</f>
        <v>213.29609000000005</v>
      </c>
      <c r="D28" s="65"/>
      <c r="E28" s="73"/>
      <c r="F28" s="64">
        <f t="shared" si="1"/>
        <v>0</v>
      </c>
      <c r="G28" s="65">
        <v>1</v>
      </c>
      <c r="H28" s="73"/>
      <c r="I28" s="64">
        <f t="shared" si="2"/>
        <v>-14.2857</v>
      </c>
      <c r="J28" s="65"/>
      <c r="K28" s="73"/>
      <c r="L28" s="64"/>
      <c r="M28" s="65"/>
      <c r="N28" s="73"/>
      <c r="O28" s="64"/>
      <c r="P28" s="94"/>
      <c r="Q28" s="103"/>
      <c r="R28" s="64"/>
      <c r="S28" s="65"/>
      <c r="T28" s="66"/>
      <c r="U28" s="76">
        <f t="shared" si="0"/>
        <v>199.01039000000006</v>
      </c>
      <c r="W28" s="86"/>
    </row>
    <row r="29" spans="1:23" ht="12.75">
      <c r="A29" s="2">
        <v>27</v>
      </c>
      <c r="B29" s="79" t="s">
        <v>312</v>
      </c>
      <c r="C29" s="61">
        <f>'2014年8月'!U29</f>
        <v>67.74328999999999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/>
      <c r="M29" s="62"/>
      <c r="N29" s="63"/>
      <c r="O29" s="64"/>
      <c r="P29" s="92"/>
      <c r="Q29" s="101"/>
      <c r="R29" s="64"/>
      <c r="S29" s="62"/>
      <c r="T29" s="66"/>
      <c r="U29" s="76">
        <f t="shared" si="0"/>
        <v>67.74328999999999</v>
      </c>
      <c r="W29" s="86"/>
    </row>
    <row r="30" spans="1:23" ht="12.75">
      <c r="A30" s="2">
        <v>28</v>
      </c>
      <c r="B30" s="80" t="s">
        <v>313</v>
      </c>
      <c r="C30" s="43">
        <f>'2014年8月'!U30</f>
        <v>25.747200000000035</v>
      </c>
      <c r="D30" s="48">
        <v>1</v>
      </c>
      <c r="E30" s="74"/>
      <c r="F30" s="46">
        <f t="shared" si="1"/>
        <v>-14.2857</v>
      </c>
      <c r="G30" s="48">
        <v>1</v>
      </c>
      <c r="H30" s="74"/>
      <c r="I30" s="46">
        <f t="shared" si="2"/>
        <v>-14.2857</v>
      </c>
      <c r="J30" s="48"/>
      <c r="K30" s="74"/>
      <c r="L30" s="46"/>
      <c r="M30" s="48"/>
      <c r="N30" s="74"/>
      <c r="O30" s="46"/>
      <c r="P30" s="95"/>
      <c r="Q30" s="104"/>
      <c r="R30" s="46"/>
      <c r="S30" s="48"/>
      <c r="T30" s="47"/>
      <c r="U30" s="76">
        <f t="shared" si="0"/>
        <v>-2.8241999999999656</v>
      </c>
      <c r="V30" s="28"/>
      <c r="W30" s="86"/>
    </row>
    <row r="31" spans="1:23" ht="12.75">
      <c r="A31" s="2">
        <v>29</v>
      </c>
      <c r="B31" s="80" t="s">
        <v>314</v>
      </c>
      <c r="C31" s="43">
        <f>'2014年8月'!U31</f>
        <v>18.253090000000014</v>
      </c>
      <c r="D31" s="44"/>
      <c r="E31" s="74"/>
      <c r="F31" s="46">
        <f t="shared" si="1"/>
        <v>0</v>
      </c>
      <c r="G31" s="44">
        <v>1</v>
      </c>
      <c r="H31" s="74">
        <v>100</v>
      </c>
      <c r="I31" s="46">
        <f t="shared" si="2"/>
        <v>-14.2857</v>
      </c>
      <c r="J31" s="44"/>
      <c r="K31" s="74"/>
      <c r="L31" s="46"/>
      <c r="M31" s="44"/>
      <c r="N31" s="74"/>
      <c r="O31" s="46"/>
      <c r="P31" s="93"/>
      <c r="Q31" s="102"/>
      <c r="R31" s="46"/>
      <c r="S31" s="44"/>
      <c r="T31" s="47"/>
      <c r="U31" s="76">
        <f t="shared" si="0"/>
        <v>103.96739000000001</v>
      </c>
      <c r="W31" s="86"/>
    </row>
    <row r="32" spans="1:23" ht="12.75">
      <c r="A32" s="2">
        <v>30</v>
      </c>
      <c r="B32" s="80" t="s">
        <v>315</v>
      </c>
      <c r="C32" s="43">
        <f>'2014年8月'!U32</f>
        <v>8.774690000000014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/>
      <c r="M32" s="48"/>
      <c r="N32" s="74"/>
      <c r="O32" s="46"/>
      <c r="P32" s="95"/>
      <c r="Q32" s="104"/>
      <c r="R32" s="46"/>
      <c r="S32" s="48"/>
      <c r="T32" s="47"/>
      <c r="U32" s="76">
        <f t="shared" si="0"/>
        <v>8.774690000000014</v>
      </c>
      <c r="W32" s="86"/>
    </row>
    <row r="33" spans="1:23" ht="12.75">
      <c r="A33" s="2">
        <v>31</v>
      </c>
      <c r="B33" s="77" t="s">
        <v>316</v>
      </c>
      <c r="C33" s="49">
        <f>'2014年8月'!U33</f>
        <v>100.22449000000003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-14.2857</v>
      </c>
      <c r="J33" s="50"/>
      <c r="K33" s="51"/>
      <c r="L33" s="52"/>
      <c r="M33" s="50"/>
      <c r="N33" s="51"/>
      <c r="O33" s="52"/>
      <c r="P33" s="87"/>
      <c r="Q33" s="96"/>
      <c r="R33" s="52"/>
      <c r="S33" s="50"/>
      <c r="T33" s="53"/>
      <c r="U33" s="76">
        <f t="shared" si="0"/>
        <v>85.93879000000003</v>
      </c>
      <c r="W33" s="86"/>
    </row>
    <row r="34" spans="1:23" ht="12.75">
      <c r="A34" s="2">
        <v>32</v>
      </c>
      <c r="B34" s="77" t="s">
        <v>317</v>
      </c>
      <c r="C34" s="49">
        <f>'2014年8月'!U34</f>
        <v>188.18309000000002</v>
      </c>
      <c r="D34" s="50">
        <v>1</v>
      </c>
      <c r="E34" s="51"/>
      <c r="F34" s="52">
        <f t="shared" si="1"/>
        <v>-14.2857</v>
      </c>
      <c r="G34" s="85">
        <v>1</v>
      </c>
      <c r="H34" s="51"/>
      <c r="I34" s="52">
        <f t="shared" si="2"/>
        <v>-14.2857</v>
      </c>
      <c r="J34" s="85"/>
      <c r="K34" s="51"/>
      <c r="L34" s="52"/>
      <c r="M34" s="50"/>
      <c r="N34" s="51"/>
      <c r="O34" s="52"/>
      <c r="P34" s="87"/>
      <c r="Q34" s="96"/>
      <c r="R34" s="52"/>
      <c r="S34" s="54"/>
      <c r="T34" s="53"/>
      <c r="U34" s="76">
        <f t="shared" si="0"/>
        <v>159.61169000000004</v>
      </c>
      <c r="W34" s="86"/>
    </row>
    <row r="35" spans="1:23" ht="12.75">
      <c r="A35" s="2">
        <v>33</v>
      </c>
      <c r="B35" s="77" t="s">
        <v>318</v>
      </c>
      <c r="C35" s="49">
        <f>'2014年8月'!U35</f>
        <v>39.84279</v>
      </c>
      <c r="D35" s="50">
        <v>1</v>
      </c>
      <c r="E35" s="51"/>
      <c r="F35" s="52">
        <f t="shared" si="1"/>
        <v>-14.2857</v>
      </c>
      <c r="G35" s="50">
        <v>1</v>
      </c>
      <c r="H35" s="51"/>
      <c r="I35" s="52">
        <f t="shared" si="2"/>
        <v>-14.2857</v>
      </c>
      <c r="J35" s="50"/>
      <c r="K35" s="51"/>
      <c r="L35" s="52"/>
      <c r="M35" s="50"/>
      <c r="N35" s="51"/>
      <c r="O35" s="52"/>
      <c r="P35" s="87"/>
      <c r="Q35" s="96"/>
      <c r="R35" s="52"/>
      <c r="S35" s="50"/>
      <c r="T35" s="53"/>
      <c r="U35" s="76">
        <f t="shared" si="0"/>
        <v>11.271390000000002</v>
      </c>
      <c r="W35" s="86"/>
    </row>
    <row r="36" spans="1:23" ht="12.75">
      <c r="A36" s="2">
        <v>34</v>
      </c>
      <c r="B36" s="78" t="s">
        <v>319</v>
      </c>
      <c r="C36" s="55">
        <f>'2014年8月'!U36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/>
      <c r="M36" s="56"/>
      <c r="N36" s="57"/>
      <c r="O36" s="58"/>
      <c r="P36" s="89"/>
      <c r="Q36" s="98"/>
      <c r="R36" s="58"/>
      <c r="S36" s="60"/>
      <c r="T36" s="59"/>
      <c r="U36" s="76">
        <f t="shared" si="0"/>
        <v>-0.01089999999999991</v>
      </c>
      <c r="W36" s="86"/>
    </row>
    <row r="37" spans="1:23" ht="12.75">
      <c r="A37" s="2">
        <v>35</v>
      </c>
      <c r="B37" s="78" t="s">
        <v>320</v>
      </c>
      <c r="C37" s="55">
        <f>'2014年8月'!U37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/>
      <c r="M37" s="56"/>
      <c r="N37" s="57"/>
      <c r="O37" s="58"/>
      <c r="P37" s="89"/>
      <c r="Q37" s="98"/>
      <c r="R37" s="58"/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321</v>
      </c>
      <c r="C38" s="55">
        <f>'2014年8月'!U38</f>
        <v>78.42869000000002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/>
      <c r="M38" s="56"/>
      <c r="N38" s="57"/>
      <c r="O38" s="58"/>
      <c r="P38" s="89"/>
      <c r="Q38" s="98"/>
      <c r="R38" s="58"/>
      <c r="S38" s="60"/>
      <c r="T38" s="59"/>
      <c r="U38" s="76">
        <f t="shared" si="0"/>
        <v>78.42869000000002</v>
      </c>
      <c r="W38" s="86"/>
    </row>
    <row r="39" spans="1:23" ht="12.75">
      <c r="A39" s="2">
        <v>37</v>
      </c>
      <c r="B39" s="81" t="s">
        <v>322</v>
      </c>
      <c r="C39" s="67">
        <f>'2014年8月'!U39</f>
        <v>78.9583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/>
      <c r="M39" s="68"/>
      <c r="N39" s="69"/>
      <c r="O39" s="70"/>
      <c r="P39" s="90"/>
      <c r="Q39" s="99"/>
      <c r="R39" s="70"/>
      <c r="S39" s="68"/>
      <c r="T39" s="71"/>
      <c r="U39" s="76">
        <f t="shared" si="0"/>
        <v>78.9583</v>
      </c>
      <c r="W39" s="86"/>
    </row>
    <row r="40" spans="1:23" ht="12.75">
      <c r="A40" s="2">
        <v>38</v>
      </c>
      <c r="B40" s="81"/>
      <c r="C40" s="67">
        <f>'2014年8月'!U40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/>
      <c r="M40" s="68"/>
      <c r="N40" s="69"/>
      <c r="O40" s="70"/>
      <c r="P40" s="90"/>
      <c r="Q40" s="99"/>
      <c r="R40" s="70"/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'2014年8月'!U41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/>
      <c r="M41" s="68"/>
      <c r="N41" s="69"/>
      <c r="O41" s="70"/>
      <c r="P41" s="90"/>
      <c r="Q41" s="99"/>
      <c r="R41" s="70"/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21</v>
      </c>
      <c r="F43" s="1">
        <f>E54/D43</f>
        <v>14.285714285714286</v>
      </c>
      <c r="G43" s="1">
        <f>SUM(G3:G41)</f>
        <v>21</v>
      </c>
      <c r="I43" s="1">
        <f>H54/G43</f>
        <v>14.285714285714286</v>
      </c>
      <c r="J43" s="1">
        <f>SUM(J3:J41)</f>
        <v>0</v>
      </c>
      <c r="L43" s="1" t="e">
        <f>K54/J43</f>
        <v>#DIV/0!</v>
      </c>
      <c r="M43" s="1">
        <f>SUM(M3:M41)</f>
        <v>0</v>
      </c>
      <c r="O43" s="1" t="e">
        <f>N54/M43</f>
        <v>#DIV/0!</v>
      </c>
      <c r="P43" s="1">
        <f>SUM(P3:P41)</f>
        <v>0</v>
      </c>
      <c r="R43" s="1" t="e">
        <f>Q54/P43</f>
        <v>#DIV/0!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323</v>
      </c>
      <c r="F44" s="34" t="s">
        <v>324</v>
      </c>
      <c r="G44" s="33" t="s">
        <v>323</v>
      </c>
      <c r="I44" s="34" t="s">
        <v>324</v>
      </c>
      <c r="J44" s="33" t="s">
        <v>323</v>
      </c>
      <c r="L44" s="34" t="s">
        <v>324</v>
      </c>
      <c r="M44" s="33" t="s">
        <v>323</v>
      </c>
      <c r="O44" s="34" t="s">
        <v>324</v>
      </c>
      <c r="P44" s="33" t="s">
        <v>323</v>
      </c>
      <c r="R44" s="34" t="s">
        <v>324</v>
      </c>
    </row>
    <row r="45" spans="5:21" ht="12.75">
      <c r="E45" s="28" t="s">
        <v>325</v>
      </c>
      <c r="F45" s="1">
        <f>SUM(F3:F41)</f>
        <v>-299.9997</v>
      </c>
      <c r="H45" s="28" t="s">
        <v>325</v>
      </c>
      <c r="I45" s="1">
        <f>SUM(I3:I41)</f>
        <v>-299.9997</v>
      </c>
      <c r="K45" s="28" t="s">
        <v>325</v>
      </c>
      <c r="L45" s="1">
        <f>SUM(L3:L41)</f>
        <v>0</v>
      </c>
      <c r="N45" s="28" t="s">
        <v>325</v>
      </c>
      <c r="O45" s="1">
        <f>SUM(O3:O41)</f>
        <v>0</v>
      </c>
      <c r="Q45" s="28" t="s">
        <v>325</v>
      </c>
      <c r="R45" s="1">
        <f>SUM(R3:R41)</f>
        <v>0</v>
      </c>
      <c r="U45" s="19"/>
    </row>
    <row r="46" spans="2:21" ht="12.75">
      <c r="B46" s="29" t="s">
        <v>326</v>
      </c>
      <c r="C46" s="27">
        <f>SUM(C3:C41)</f>
        <v>2499.9990700000003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2499.9996700000006</v>
      </c>
      <c r="W47" s="86">
        <f>U47</f>
        <v>2499.9996700000006</v>
      </c>
    </row>
    <row r="48" spans="2:20" ht="12.75" customHeight="1">
      <c r="B48" s="86"/>
      <c r="D48" s="117" t="s">
        <v>332</v>
      </c>
      <c r="E48" s="118"/>
      <c r="F48" s="119"/>
      <c r="G48" s="117" t="s">
        <v>333</v>
      </c>
      <c r="H48" s="118"/>
      <c r="I48" s="119"/>
      <c r="J48" s="117" t="s">
        <v>334</v>
      </c>
      <c r="K48" s="118"/>
      <c r="L48" s="119"/>
      <c r="M48" s="117" t="s">
        <v>335</v>
      </c>
      <c r="N48" s="118"/>
      <c r="O48" s="119"/>
      <c r="P48" s="117" t="s">
        <v>336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327</v>
      </c>
      <c r="E54" s="36">
        <f>E56-E72-E81</f>
        <v>300</v>
      </c>
      <c r="F54" s="37"/>
      <c r="G54" s="38" t="s">
        <v>327</v>
      </c>
      <c r="H54" s="36">
        <f>H56-H72-H81</f>
        <v>300</v>
      </c>
      <c r="I54" s="37"/>
      <c r="J54" s="38" t="s">
        <v>327</v>
      </c>
      <c r="K54" s="36">
        <f>K56-K72-K81</f>
        <v>300</v>
      </c>
      <c r="L54" s="37"/>
      <c r="M54" s="38" t="s">
        <v>327</v>
      </c>
      <c r="N54" s="36">
        <f>N56-N72-N81</f>
        <v>300</v>
      </c>
      <c r="O54" s="37"/>
      <c r="P54" s="38" t="s">
        <v>327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328</v>
      </c>
      <c r="E56" s="39">
        <v>300</v>
      </c>
      <c r="F56" s="40"/>
      <c r="G56" s="83" t="s">
        <v>328</v>
      </c>
      <c r="H56" s="39">
        <v>300</v>
      </c>
      <c r="I56" s="40"/>
      <c r="J56" s="83" t="s">
        <v>328</v>
      </c>
      <c r="K56" s="39">
        <v>300</v>
      </c>
      <c r="L56" s="40"/>
      <c r="M56" s="83" t="s">
        <v>328</v>
      </c>
      <c r="N56" s="39">
        <v>300</v>
      </c>
      <c r="O56" s="40"/>
      <c r="P56" s="83" t="s">
        <v>328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 t="s">
        <v>337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329</v>
      </c>
      <c r="E68" s="112"/>
      <c r="G68" s="111" t="s">
        <v>329</v>
      </c>
      <c r="H68" s="112"/>
      <c r="J68" s="111" t="s">
        <v>329</v>
      </c>
      <c r="K68" s="112"/>
      <c r="M68" s="111" t="s">
        <v>329</v>
      </c>
      <c r="N68" s="112"/>
      <c r="P68" s="111" t="s">
        <v>329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82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K72" s="28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330</v>
      </c>
      <c r="E75" s="112"/>
      <c r="G75" s="111" t="s">
        <v>330</v>
      </c>
      <c r="H75" s="112"/>
      <c r="J75" s="111" t="s">
        <v>330</v>
      </c>
      <c r="K75" s="112"/>
      <c r="M75" s="111" t="s">
        <v>330</v>
      </c>
      <c r="N75" s="112"/>
      <c r="P75" s="111" t="s">
        <v>330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M77" s="105"/>
      <c r="P77" s="105"/>
    </row>
    <row r="83" spans="4:18" ht="12.75" customHeight="1">
      <c r="D83" s="115" t="s">
        <v>331</v>
      </c>
      <c r="E83" s="115"/>
      <c r="F83" s="115"/>
      <c r="G83" s="115" t="s">
        <v>331</v>
      </c>
      <c r="H83" s="115"/>
      <c r="I83" s="115"/>
      <c r="J83" s="115" t="s">
        <v>331</v>
      </c>
      <c r="K83" s="115"/>
      <c r="L83" s="115"/>
      <c r="M83" s="115" t="s">
        <v>331</v>
      </c>
      <c r="N83" s="115"/>
      <c r="O83" s="115"/>
      <c r="P83" s="115" t="s">
        <v>331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327</v>
      </c>
      <c r="E90" s="112"/>
      <c r="F90" s="112"/>
      <c r="G90" s="114" t="s">
        <v>327</v>
      </c>
      <c r="H90" s="112"/>
      <c r="I90" s="112"/>
      <c r="J90" s="114" t="s">
        <v>327</v>
      </c>
      <c r="K90" s="112"/>
      <c r="L90" s="112"/>
      <c r="M90" s="114" t="s">
        <v>327</v>
      </c>
      <c r="N90" s="112"/>
      <c r="O90" s="112"/>
      <c r="P90" s="114" t="s">
        <v>327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K30" sqref="K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41336</v>
      </c>
      <c r="E1" s="126"/>
      <c r="F1" s="127"/>
      <c r="G1" s="16"/>
      <c r="H1" s="24">
        <v>41343</v>
      </c>
      <c r="I1" s="17"/>
      <c r="J1" s="30"/>
      <c r="K1" s="24">
        <v>41350</v>
      </c>
      <c r="L1" s="31"/>
      <c r="M1" s="16"/>
      <c r="N1" s="24">
        <v>41357</v>
      </c>
      <c r="O1" s="17"/>
      <c r="P1" s="16"/>
      <c r="Q1" s="24">
        <v>41364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'2013年1月'!U3</f>
        <v>39.71239999999999</v>
      </c>
      <c r="D3" s="50">
        <v>1</v>
      </c>
      <c r="E3" s="51">
        <v>22.8367</v>
      </c>
      <c r="F3" s="52">
        <f>-13.6363*D3</f>
        <v>-13.6363</v>
      </c>
      <c r="G3" s="50">
        <v>1</v>
      </c>
      <c r="H3" s="51"/>
      <c r="I3" s="52">
        <f>-13.4091*G3</f>
        <v>-13.4091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-16.4706*M3</f>
        <v>-16.4706</v>
      </c>
      <c r="P3" s="87">
        <v>1</v>
      </c>
      <c r="Q3" s="96">
        <v>73.5938</v>
      </c>
      <c r="R3" s="52">
        <f>-15.7895*P3</f>
        <v>-15.7895</v>
      </c>
      <c r="S3" s="50"/>
      <c r="T3" s="53"/>
      <c r="U3" s="76">
        <f aca="true" t="shared" si="0" ref="U3:U41">C3+E3+F3+H3+I3+K3+L3+N3+O3+T3+Q3+R3</f>
        <v>60.17069999999998</v>
      </c>
      <c r="W3" s="86"/>
    </row>
    <row r="4" spans="1:23" ht="12.75">
      <c r="A4" s="2">
        <v>2</v>
      </c>
      <c r="B4" s="75" t="s">
        <v>3</v>
      </c>
      <c r="C4" s="49">
        <f>'2013年1月'!U4</f>
        <v>97.1511</v>
      </c>
      <c r="D4" s="50">
        <v>1</v>
      </c>
      <c r="E4" s="51"/>
      <c r="F4" s="52">
        <f aca="true" t="shared" si="1" ref="F4:F41">-13.6363*D4</f>
        <v>-13.6363</v>
      </c>
      <c r="G4" s="50">
        <v>1</v>
      </c>
      <c r="H4" s="51"/>
      <c r="I4" s="52">
        <f aca="true" t="shared" si="2" ref="I4:I41">-13.4091*G4</f>
        <v>-13.4091</v>
      </c>
      <c r="J4" s="50"/>
      <c r="K4" s="51"/>
      <c r="L4" s="52">
        <f aca="true" t="shared" si="3" ref="L4:L41">-16.6667*J4</f>
        <v>0</v>
      </c>
      <c r="M4" s="50"/>
      <c r="N4" s="51"/>
      <c r="O4" s="52">
        <f aca="true" t="shared" si="4" ref="O4:O41">-16.4706*M4</f>
        <v>0</v>
      </c>
      <c r="P4" s="87"/>
      <c r="Q4" s="96"/>
      <c r="R4" s="52">
        <f aca="true" t="shared" si="5" ref="R4:R41">-15.7895*P4</f>
        <v>0</v>
      </c>
      <c r="S4" s="54"/>
      <c r="T4" s="53"/>
      <c r="U4" s="76">
        <f t="shared" si="0"/>
        <v>70.1057</v>
      </c>
      <c r="W4" s="86"/>
    </row>
    <row r="5" spans="1:23" ht="12.75">
      <c r="A5" s="2">
        <v>3</v>
      </c>
      <c r="B5" s="77" t="s">
        <v>58</v>
      </c>
      <c r="C5" s="49">
        <f>'2013年1月'!U5</f>
        <v>-25.943900000000006</v>
      </c>
      <c r="D5" s="50">
        <v>1</v>
      </c>
      <c r="E5" s="51"/>
      <c r="F5" s="52">
        <f t="shared" si="1"/>
        <v>-13.6363</v>
      </c>
      <c r="G5" s="50">
        <v>1</v>
      </c>
      <c r="H5" s="51"/>
      <c r="I5" s="52">
        <f t="shared" si="2"/>
        <v>-13.4091</v>
      </c>
      <c r="J5" s="50">
        <v>1</v>
      </c>
      <c r="K5" s="51">
        <v>200</v>
      </c>
      <c r="L5" s="52">
        <f t="shared" si="3"/>
        <v>-16.6667</v>
      </c>
      <c r="M5" s="50">
        <v>1</v>
      </c>
      <c r="N5" s="51"/>
      <c r="O5" s="52">
        <f t="shared" si="4"/>
        <v>-16.4706</v>
      </c>
      <c r="P5" s="87">
        <v>1</v>
      </c>
      <c r="Q5" s="96"/>
      <c r="R5" s="52">
        <f t="shared" si="5"/>
        <v>-15.7895</v>
      </c>
      <c r="S5" s="50"/>
      <c r="T5" s="53"/>
      <c r="U5" s="76">
        <f t="shared" si="0"/>
        <v>98.08389999999999</v>
      </c>
      <c r="W5" s="86"/>
    </row>
    <row r="6" spans="1:23" ht="12.75">
      <c r="A6" s="2">
        <v>4</v>
      </c>
      <c r="B6" s="110">
        <v>9631</v>
      </c>
      <c r="C6" s="55">
        <f>'2013年1月'!U6</f>
        <v>12.203099999999992</v>
      </c>
      <c r="D6" s="60">
        <v>1</v>
      </c>
      <c r="E6" s="57"/>
      <c r="F6" s="58">
        <f t="shared" si="1"/>
        <v>-13.6363</v>
      </c>
      <c r="G6" s="60">
        <v>1</v>
      </c>
      <c r="H6" s="57">
        <v>100</v>
      </c>
      <c r="I6" s="58">
        <f t="shared" si="2"/>
        <v>-13.4091</v>
      </c>
      <c r="J6" s="60">
        <v>1</v>
      </c>
      <c r="K6" s="57"/>
      <c r="L6" s="58">
        <f t="shared" si="3"/>
        <v>-16.6667</v>
      </c>
      <c r="M6" s="60">
        <v>1</v>
      </c>
      <c r="N6" s="57"/>
      <c r="O6" s="58">
        <f t="shared" si="4"/>
        <v>-16.4706</v>
      </c>
      <c r="P6" s="88">
        <v>1</v>
      </c>
      <c r="Q6" s="97"/>
      <c r="R6" s="58">
        <f t="shared" si="5"/>
        <v>-15.7895</v>
      </c>
      <c r="S6" s="60"/>
      <c r="T6" s="59"/>
      <c r="U6" s="76">
        <f t="shared" si="0"/>
        <v>36.23089999999998</v>
      </c>
      <c r="W6" s="86"/>
    </row>
    <row r="7" spans="1:23" ht="12.75">
      <c r="A7" s="2">
        <v>5</v>
      </c>
      <c r="B7" s="78" t="s">
        <v>59</v>
      </c>
      <c r="C7" s="55">
        <f>'2013年1月'!U7</f>
        <v>231.2276</v>
      </c>
      <c r="D7" s="56">
        <v>1</v>
      </c>
      <c r="E7" s="57"/>
      <c r="F7" s="58">
        <f t="shared" si="1"/>
        <v>-13.6363</v>
      </c>
      <c r="G7" s="56">
        <v>1</v>
      </c>
      <c r="H7" s="57"/>
      <c r="I7" s="58">
        <f t="shared" si="2"/>
        <v>-13.4091</v>
      </c>
      <c r="J7" s="56">
        <v>1</v>
      </c>
      <c r="K7" s="57"/>
      <c r="L7" s="58">
        <f t="shared" si="3"/>
        <v>-16.6667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-15.7895</v>
      </c>
      <c r="S7" s="56"/>
      <c r="T7" s="59"/>
      <c r="U7" s="76">
        <f t="shared" si="0"/>
        <v>171.726</v>
      </c>
      <c r="W7" s="86"/>
    </row>
    <row r="8" spans="1:23" ht="12.75">
      <c r="A8" s="2">
        <v>6</v>
      </c>
      <c r="B8" s="78" t="s">
        <v>60</v>
      </c>
      <c r="C8" s="55">
        <f>'2013年1月'!U8</f>
        <v>184.36860000000001</v>
      </c>
      <c r="D8" s="56">
        <v>1</v>
      </c>
      <c r="E8" s="57"/>
      <c r="F8" s="58">
        <f t="shared" si="1"/>
        <v>-13.6363</v>
      </c>
      <c r="G8" s="56">
        <v>1</v>
      </c>
      <c r="H8" s="57"/>
      <c r="I8" s="58">
        <f t="shared" si="2"/>
        <v>-13.4091</v>
      </c>
      <c r="J8" s="56">
        <v>1</v>
      </c>
      <c r="K8" s="57"/>
      <c r="L8" s="58">
        <f t="shared" si="3"/>
        <v>-16.6667</v>
      </c>
      <c r="M8" s="56">
        <v>1</v>
      </c>
      <c r="N8" s="57"/>
      <c r="O8" s="58">
        <f t="shared" si="4"/>
        <v>-16.4706</v>
      </c>
      <c r="P8" s="89">
        <v>1</v>
      </c>
      <c r="Q8" s="98"/>
      <c r="R8" s="58">
        <f t="shared" si="5"/>
        <v>-15.7895</v>
      </c>
      <c r="S8" s="60"/>
      <c r="T8" s="59"/>
      <c r="U8" s="76">
        <f t="shared" si="0"/>
        <v>108.39640000000001</v>
      </c>
      <c r="W8" s="86"/>
    </row>
    <row r="9" spans="1:23" ht="12.75">
      <c r="A9" s="2">
        <v>7</v>
      </c>
      <c r="B9" s="109" t="s">
        <v>61</v>
      </c>
      <c r="C9" s="67">
        <f>'2013年1月'!U9</f>
        <v>84.788</v>
      </c>
      <c r="D9" s="68">
        <v>1</v>
      </c>
      <c r="E9" s="69"/>
      <c r="F9" s="70">
        <f t="shared" si="1"/>
        <v>-13.6363</v>
      </c>
      <c r="G9" s="68">
        <v>1</v>
      </c>
      <c r="H9" s="69"/>
      <c r="I9" s="70">
        <f t="shared" si="2"/>
        <v>-13.4091</v>
      </c>
      <c r="J9" s="68">
        <v>1</v>
      </c>
      <c r="K9" s="69"/>
      <c r="L9" s="70">
        <f t="shared" si="3"/>
        <v>-16.6667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-15.7895</v>
      </c>
      <c r="S9" s="68"/>
      <c r="T9" s="71"/>
      <c r="U9" s="76">
        <f t="shared" si="0"/>
        <v>25.28639999999999</v>
      </c>
      <c r="W9" s="86"/>
    </row>
    <row r="10" spans="1:23" ht="12.75">
      <c r="A10" s="2">
        <v>8</v>
      </c>
      <c r="B10" s="81" t="s">
        <v>62</v>
      </c>
      <c r="C10" s="67">
        <f>'2013年1月'!U10</f>
        <v>75.85110000000002</v>
      </c>
      <c r="D10" s="72">
        <v>1</v>
      </c>
      <c r="E10" s="69">
        <v>200</v>
      </c>
      <c r="F10" s="70">
        <f t="shared" si="1"/>
        <v>-13.6363</v>
      </c>
      <c r="G10" s="72">
        <v>1</v>
      </c>
      <c r="H10" s="69"/>
      <c r="I10" s="70">
        <f t="shared" si="2"/>
        <v>-13.4091</v>
      </c>
      <c r="J10" s="72">
        <v>1</v>
      </c>
      <c r="K10" s="69"/>
      <c r="L10" s="70">
        <f t="shared" si="3"/>
        <v>-16.6667</v>
      </c>
      <c r="M10" s="72">
        <v>1</v>
      </c>
      <c r="N10" s="69"/>
      <c r="O10" s="70">
        <f t="shared" si="4"/>
        <v>-16.4706</v>
      </c>
      <c r="P10" s="91">
        <v>1</v>
      </c>
      <c r="Q10" s="100"/>
      <c r="R10" s="70">
        <f t="shared" si="5"/>
        <v>-15.7895</v>
      </c>
      <c r="S10" s="72"/>
      <c r="T10" s="71"/>
      <c r="U10" s="76">
        <f t="shared" si="0"/>
        <v>199.87890000000004</v>
      </c>
      <c r="W10" s="86"/>
    </row>
    <row r="11" spans="1:23" ht="12.75">
      <c r="A11" s="2">
        <v>9</v>
      </c>
      <c r="B11" s="109" t="s">
        <v>63</v>
      </c>
      <c r="C11" s="67">
        <f>'2013年1月'!U11</f>
        <v>-42.782900000000005</v>
      </c>
      <c r="D11" s="68">
        <v>1</v>
      </c>
      <c r="E11" s="69">
        <v>200</v>
      </c>
      <c r="F11" s="70">
        <f t="shared" si="1"/>
        <v>-13.6363</v>
      </c>
      <c r="G11" s="68">
        <v>1</v>
      </c>
      <c r="H11" s="69"/>
      <c r="I11" s="70">
        <f t="shared" si="2"/>
        <v>-13.4091</v>
      </c>
      <c r="J11" s="68">
        <v>1</v>
      </c>
      <c r="K11" s="69"/>
      <c r="L11" s="70">
        <f t="shared" si="3"/>
        <v>-16.6667</v>
      </c>
      <c r="M11" s="68">
        <v>1</v>
      </c>
      <c r="N11" s="69"/>
      <c r="O11" s="70">
        <f t="shared" si="4"/>
        <v>-16.4706</v>
      </c>
      <c r="P11" s="90">
        <v>1</v>
      </c>
      <c r="Q11" s="99"/>
      <c r="R11" s="70">
        <f t="shared" si="5"/>
        <v>-15.7895</v>
      </c>
      <c r="S11" s="68"/>
      <c r="T11" s="71"/>
      <c r="U11" s="76">
        <f t="shared" si="0"/>
        <v>81.24489999999999</v>
      </c>
      <c r="W11" s="86"/>
    </row>
    <row r="12" spans="1:23" ht="12.75">
      <c r="A12" s="2">
        <v>10</v>
      </c>
      <c r="B12" s="79" t="s">
        <v>64</v>
      </c>
      <c r="C12" s="61">
        <f>'2013年1月'!U12</f>
        <v>44.607600000000005</v>
      </c>
      <c r="D12" s="62">
        <v>1</v>
      </c>
      <c r="E12" s="63"/>
      <c r="F12" s="64">
        <f t="shared" si="1"/>
        <v>-13.6363</v>
      </c>
      <c r="G12" s="62">
        <v>1</v>
      </c>
      <c r="H12" s="63"/>
      <c r="I12" s="64">
        <f t="shared" si="2"/>
        <v>-13.4091</v>
      </c>
      <c r="J12" s="62">
        <v>1</v>
      </c>
      <c r="K12" s="63">
        <v>100</v>
      </c>
      <c r="L12" s="64">
        <f t="shared" si="3"/>
        <v>-16.6667</v>
      </c>
      <c r="M12" s="62">
        <v>1</v>
      </c>
      <c r="N12" s="63"/>
      <c r="O12" s="64">
        <f t="shared" si="4"/>
        <v>-16.4706</v>
      </c>
      <c r="P12" s="92">
        <v>1</v>
      </c>
      <c r="Q12" s="101"/>
      <c r="R12" s="64">
        <f t="shared" si="5"/>
        <v>-15.7895</v>
      </c>
      <c r="S12" s="62"/>
      <c r="T12" s="66"/>
      <c r="U12" s="76">
        <f t="shared" si="0"/>
        <v>68.63539999999999</v>
      </c>
      <c r="W12" s="86"/>
    </row>
    <row r="13" spans="1:23" ht="12.75">
      <c r="A13" s="2">
        <v>11</v>
      </c>
      <c r="B13" s="79" t="s">
        <v>65</v>
      </c>
      <c r="C13" s="61">
        <f>'2013年1月'!U13</f>
        <v>34.6674</v>
      </c>
      <c r="D13" s="62">
        <v>1</v>
      </c>
      <c r="E13" s="63"/>
      <c r="F13" s="64">
        <f t="shared" si="1"/>
        <v>-13.6363</v>
      </c>
      <c r="G13" s="62">
        <v>1</v>
      </c>
      <c r="H13" s="63"/>
      <c r="I13" s="64">
        <f t="shared" si="2"/>
        <v>-13.4091</v>
      </c>
      <c r="J13" s="62">
        <v>1</v>
      </c>
      <c r="K13" s="63"/>
      <c r="L13" s="64">
        <f t="shared" si="3"/>
        <v>-16.6667</v>
      </c>
      <c r="M13" s="62">
        <v>1</v>
      </c>
      <c r="N13" s="106"/>
      <c r="O13" s="64">
        <f t="shared" si="4"/>
        <v>-16.4706</v>
      </c>
      <c r="P13" s="92">
        <v>1</v>
      </c>
      <c r="Q13" s="101"/>
      <c r="R13" s="64">
        <f t="shared" si="5"/>
        <v>-15.7895</v>
      </c>
      <c r="S13" s="65"/>
      <c r="T13" s="66"/>
      <c r="U13" s="76">
        <f t="shared" si="0"/>
        <v>-41.3048</v>
      </c>
      <c r="W13" s="86"/>
    </row>
    <row r="14" spans="1:23" ht="12.75">
      <c r="A14" s="2">
        <v>12</v>
      </c>
      <c r="B14" s="79" t="s">
        <v>66</v>
      </c>
      <c r="C14" s="61">
        <f>'2013年1月'!U14</f>
        <v>-15.912700000000001</v>
      </c>
      <c r="D14" s="62">
        <v>1</v>
      </c>
      <c r="E14" s="63">
        <v>100</v>
      </c>
      <c r="F14" s="64">
        <f t="shared" si="1"/>
        <v>-13.6363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-16.6667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53.784299999999995</v>
      </c>
      <c r="W14" s="86"/>
    </row>
    <row r="15" spans="1:23" ht="12.75">
      <c r="A15" s="2">
        <v>13</v>
      </c>
      <c r="B15" s="80" t="s">
        <v>67</v>
      </c>
      <c r="C15" s="43">
        <f>'2013年1月'!U15</f>
        <v>135.8523</v>
      </c>
      <c r="D15" s="44">
        <v>1</v>
      </c>
      <c r="E15" s="45"/>
      <c r="F15" s="46">
        <f t="shared" si="1"/>
        <v>-13.6363</v>
      </c>
      <c r="G15" s="44">
        <v>1</v>
      </c>
      <c r="H15" s="45"/>
      <c r="I15" s="46">
        <f t="shared" si="2"/>
        <v>-13.4091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-16.4706</v>
      </c>
      <c r="P15" s="93">
        <v>1</v>
      </c>
      <c r="Q15" s="102"/>
      <c r="R15" s="46">
        <f t="shared" si="5"/>
        <v>-15.7895</v>
      </c>
      <c r="S15" s="48"/>
      <c r="T15" s="47"/>
      <c r="U15" s="76">
        <f t="shared" si="0"/>
        <v>76.5468</v>
      </c>
      <c r="W15" s="86"/>
    </row>
    <row r="16" spans="1:23" ht="12.75">
      <c r="A16" s="2">
        <v>14</v>
      </c>
      <c r="B16" s="80" t="s">
        <v>53</v>
      </c>
      <c r="C16" s="43">
        <f>'2013年1月'!U16</f>
        <v>-5.408900000000003</v>
      </c>
      <c r="D16" s="44">
        <v>1</v>
      </c>
      <c r="E16" s="45">
        <v>100</v>
      </c>
      <c r="F16" s="46">
        <f t="shared" si="1"/>
        <v>-13.6363</v>
      </c>
      <c r="G16" s="44">
        <v>1</v>
      </c>
      <c r="H16" s="45"/>
      <c r="I16" s="46">
        <f t="shared" si="2"/>
        <v>-13.4091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-16.4706</v>
      </c>
      <c r="P16" s="93">
        <v>1</v>
      </c>
      <c r="Q16" s="102"/>
      <c r="R16" s="46">
        <f t="shared" si="5"/>
        <v>-15.7895</v>
      </c>
      <c r="S16" s="44"/>
      <c r="T16" s="47"/>
      <c r="U16" s="76">
        <f t="shared" si="0"/>
        <v>18.6189</v>
      </c>
      <c r="W16" s="86"/>
    </row>
    <row r="17" spans="1:23" ht="12.75">
      <c r="A17" s="2">
        <v>15</v>
      </c>
      <c r="B17" s="80" t="s">
        <v>94</v>
      </c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>
        <v>1</v>
      </c>
      <c r="Q17" s="102">
        <v>206.4077</v>
      </c>
      <c r="R17" s="46">
        <f t="shared" si="5"/>
        <v>-15.7895</v>
      </c>
      <c r="S17" s="48"/>
      <c r="T17" s="47"/>
      <c r="U17" s="76">
        <f t="shared" si="0"/>
        <v>190.6182</v>
      </c>
      <c r="W17" s="86"/>
    </row>
    <row r="18" spans="1:23" ht="12.75">
      <c r="A18" s="2">
        <v>16</v>
      </c>
      <c r="B18" s="77" t="s">
        <v>68</v>
      </c>
      <c r="C18" s="49">
        <f>'2013年1月'!U18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>-16.4706*M18</f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'2013年1月'!U19</f>
        <v>83.8148</v>
      </c>
      <c r="D19" s="50">
        <v>1</v>
      </c>
      <c r="E19" s="51"/>
      <c r="F19" s="52">
        <f t="shared" si="1"/>
        <v>-13.6363</v>
      </c>
      <c r="G19" s="50">
        <v>1</v>
      </c>
      <c r="H19" s="51"/>
      <c r="I19" s="52">
        <f t="shared" si="2"/>
        <v>-13.4091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-16.4706</v>
      </c>
      <c r="P19" s="87">
        <v>1</v>
      </c>
      <c r="Q19" s="96"/>
      <c r="R19" s="52">
        <f t="shared" si="5"/>
        <v>-15.7895</v>
      </c>
      <c r="S19" s="54"/>
      <c r="T19" s="53"/>
      <c r="U19" s="76">
        <f t="shared" si="0"/>
        <v>7.842599999999997</v>
      </c>
      <c r="W19" s="86"/>
    </row>
    <row r="20" spans="1:23" ht="12.75">
      <c r="A20" s="2">
        <v>18</v>
      </c>
      <c r="B20" s="77" t="s">
        <v>70</v>
      </c>
      <c r="C20" s="49">
        <f>'2013年1月'!U20</f>
        <v>113.1907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113.1907</v>
      </c>
      <c r="W20" s="86"/>
    </row>
    <row r="21" spans="1:23" ht="12.75">
      <c r="A21" s="2">
        <v>19</v>
      </c>
      <c r="B21" s="78" t="s">
        <v>71</v>
      </c>
      <c r="C21" s="55">
        <f>'2013年1月'!U21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'2013年1月'!U22</f>
        <v>72.3394</v>
      </c>
      <c r="D22" s="56">
        <v>1</v>
      </c>
      <c r="E22" s="57"/>
      <c r="F22" s="58">
        <f t="shared" si="1"/>
        <v>-13.6363</v>
      </c>
      <c r="G22" s="56">
        <v>1</v>
      </c>
      <c r="H22" s="57"/>
      <c r="I22" s="58">
        <f t="shared" si="2"/>
        <v>-13.4091</v>
      </c>
      <c r="J22" s="56"/>
      <c r="K22" s="57"/>
      <c r="L22" s="58">
        <f t="shared" si="3"/>
        <v>0</v>
      </c>
      <c r="M22" s="56">
        <v>1</v>
      </c>
      <c r="N22" s="57"/>
      <c r="O22" s="58">
        <f t="shared" si="4"/>
        <v>-16.4706</v>
      </c>
      <c r="P22" s="89">
        <v>1</v>
      </c>
      <c r="Q22" s="98"/>
      <c r="R22" s="58">
        <f t="shared" si="5"/>
        <v>-15.7895</v>
      </c>
      <c r="S22" s="56"/>
      <c r="T22" s="59"/>
      <c r="U22" s="76">
        <f t="shared" si="0"/>
        <v>13.033899999999996</v>
      </c>
      <c r="W22" s="86"/>
    </row>
    <row r="23" spans="1:23" ht="12.75">
      <c r="A23" s="2">
        <v>21</v>
      </c>
      <c r="B23" s="78" t="s">
        <v>73</v>
      </c>
      <c r="C23" s="55">
        <f>'2013年1月'!U23</f>
        <v>232.00699999999995</v>
      </c>
      <c r="D23" s="56">
        <v>1</v>
      </c>
      <c r="E23" s="57">
        <v>47.1042</v>
      </c>
      <c r="F23" s="58">
        <f t="shared" si="1"/>
        <v>-13.6363</v>
      </c>
      <c r="G23" s="56">
        <v>1</v>
      </c>
      <c r="H23" s="57"/>
      <c r="I23" s="58">
        <f t="shared" si="2"/>
        <v>-13.4091</v>
      </c>
      <c r="J23" s="56">
        <v>1</v>
      </c>
      <c r="K23" s="57"/>
      <c r="L23" s="58">
        <f t="shared" si="3"/>
        <v>-16.6667</v>
      </c>
      <c r="M23" s="56">
        <v>1</v>
      </c>
      <c r="N23" s="57"/>
      <c r="O23" s="58">
        <f t="shared" si="4"/>
        <v>-16.4706</v>
      </c>
      <c r="P23" s="89">
        <v>1</v>
      </c>
      <c r="Q23" s="98"/>
      <c r="R23" s="58">
        <f t="shared" si="5"/>
        <v>-15.7895</v>
      </c>
      <c r="S23" s="60"/>
      <c r="T23" s="59"/>
      <c r="U23" s="76">
        <f t="shared" si="0"/>
        <v>203.13899999999995</v>
      </c>
      <c r="W23" s="86"/>
    </row>
    <row r="24" spans="1:23" ht="12.75">
      <c r="A24" s="2">
        <v>22</v>
      </c>
      <c r="B24" s="81" t="s">
        <v>74</v>
      </c>
      <c r="C24" s="67">
        <f>'2013年1月'!U24</f>
        <v>36.327400000000004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-13.4091</v>
      </c>
      <c r="J24" s="68">
        <v>1</v>
      </c>
      <c r="K24" s="69"/>
      <c r="L24" s="70">
        <f t="shared" si="3"/>
        <v>-16.6667</v>
      </c>
      <c r="M24" s="68">
        <v>1</v>
      </c>
      <c r="N24" s="69"/>
      <c r="O24" s="70">
        <f t="shared" si="4"/>
        <v>-16.4706</v>
      </c>
      <c r="P24" s="90"/>
      <c r="Q24" s="99"/>
      <c r="R24" s="70">
        <f t="shared" si="5"/>
        <v>0</v>
      </c>
      <c r="S24" s="68"/>
      <c r="T24" s="71"/>
      <c r="U24" s="76">
        <f t="shared" si="0"/>
        <v>-10.218999999999998</v>
      </c>
      <c r="W24" s="86"/>
    </row>
    <row r="25" spans="1:23" ht="12.75">
      <c r="A25" s="2">
        <v>23</v>
      </c>
      <c r="B25" s="81" t="s">
        <v>75</v>
      </c>
      <c r="C25" s="67">
        <f>'2013年1月'!U25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76</v>
      </c>
      <c r="C26" s="67">
        <f>'2013年1月'!U26</f>
        <v>27.918599999999998</v>
      </c>
      <c r="D26" s="68"/>
      <c r="E26" s="69"/>
      <c r="F26" s="70">
        <f t="shared" si="1"/>
        <v>0</v>
      </c>
      <c r="G26" s="68">
        <v>1</v>
      </c>
      <c r="H26" s="69"/>
      <c r="I26" s="70">
        <f>-13.4091*G26-5</f>
        <v>-18.409100000000002</v>
      </c>
      <c r="J26" s="68">
        <v>1</v>
      </c>
      <c r="K26" s="69"/>
      <c r="L26" s="70">
        <f t="shared" si="3"/>
        <v>-16.6667</v>
      </c>
      <c r="M26" s="68"/>
      <c r="N26" s="69"/>
      <c r="O26" s="70">
        <f t="shared" si="4"/>
        <v>0</v>
      </c>
      <c r="P26" s="90">
        <v>1</v>
      </c>
      <c r="Q26" s="99">
        <v>200</v>
      </c>
      <c r="R26" s="70">
        <f t="shared" si="5"/>
        <v>-15.7895</v>
      </c>
      <c r="S26" s="72"/>
      <c r="T26" s="71"/>
      <c r="U26" s="76">
        <f t="shared" si="0"/>
        <v>177.0533</v>
      </c>
      <c r="W26" s="86"/>
    </row>
    <row r="27" spans="1:23" ht="12.75">
      <c r="A27" s="2">
        <v>25</v>
      </c>
      <c r="B27" s="79" t="s">
        <v>77</v>
      </c>
      <c r="C27" s="61">
        <f>'2013年1月'!U27</f>
        <v>124.027</v>
      </c>
      <c r="D27" s="62">
        <v>1</v>
      </c>
      <c r="E27" s="73"/>
      <c r="F27" s="64">
        <f t="shared" si="1"/>
        <v>-13.6363</v>
      </c>
      <c r="G27" s="62">
        <v>1</v>
      </c>
      <c r="H27" s="73"/>
      <c r="I27" s="64">
        <f t="shared" si="2"/>
        <v>-13.4091</v>
      </c>
      <c r="J27" s="62">
        <v>1</v>
      </c>
      <c r="K27" s="73"/>
      <c r="L27" s="64">
        <f t="shared" si="3"/>
        <v>-16.6667</v>
      </c>
      <c r="M27" s="62">
        <v>1</v>
      </c>
      <c r="N27" s="73"/>
      <c r="O27" s="64">
        <f t="shared" si="4"/>
        <v>-16.4706</v>
      </c>
      <c r="P27" s="92">
        <v>1</v>
      </c>
      <c r="Q27" s="101"/>
      <c r="R27" s="64">
        <f t="shared" si="5"/>
        <v>-15.7895</v>
      </c>
      <c r="S27" s="62"/>
      <c r="T27" s="66"/>
      <c r="U27" s="76">
        <f t="shared" si="0"/>
        <v>48.054799999999986</v>
      </c>
      <c r="W27" s="86"/>
    </row>
    <row r="28" spans="1:23" ht="12.75">
      <c r="A28" s="2">
        <v>26</v>
      </c>
      <c r="B28" s="79" t="s">
        <v>78</v>
      </c>
      <c r="C28" s="61">
        <f>'2013年1月'!U28</f>
        <v>439.1589</v>
      </c>
      <c r="D28" s="65">
        <v>1</v>
      </c>
      <c r="E28" s="73"/>
      <c r="F28" s="64">
        <f t="shared" si="1"/>
        <v>-13.6363</v>
      </c>
      <c r="G28" s="65">
        <v>1</v>
      </c>
      <c r="H28" s="73"/>
      <c r="I28" s="64">
        <f t="shared" si="2"/>
        <v>-13.4091</v>
      </c>
      <c r="J28" s="65"/>
      <c r="K28" s="73"/>
      <c r="L28" s="64">
        <f t="shared" si="3"/>
        <v>0</v>
      </c>
      <c r="M28" s="65">
        <v>1</v>
      </c>
      <c r="N28" s="73"/>
      <c r="O28" s="64">
        <f t="shared" si="4"/>
        <v>-16.4706</v>
      </c>
      <c r="P28" s="94"/>
      <c r="Q28" s="103"/>
      <c r="R28" s="64">
        <f t="shared" si="5"/>
        <v>0</v>
      </c>
      <c r="S28" s="65"/>
      <c r="T28" s="66"/>
      <c r="U28" s="76">
        <f t="shared" si="0"/>
        <v>395.6429</v>
      </c>
      <c r="W28" s="86"/>
    </row>
    <row r="29" spans="1:23" ht="12.75">
      <c r="A29" s="2">
        <v>27</v>
      </c>
      <c r="B29" s="79" t="s">
        <v>79</v>
      </c>
      <c r="C29" s="61">
        <f>'2013年1月'!U29</f>
        <v>64.0917</v>
      </c>
      <c r="D29" s="62">
        <v>1</v>
      </c>
      <c r="E29" s="63"/>
      <c r="F29" s="64">
        <f t="shared" si="1"/>
        <v>-13.6363</v>
      </c>
      <c r="G29" s="62">
        <v>1</v>
      </c>
      <c r="H29" s="63"/>
      <c r="I29" s="64">
        <f t="shared" si="2"/>
        <v>-13.4091</v>
      </c>
      <c r="J29" s="62">
        <v>1</v>
      </c>
      <c r="K29" s="63"/>
      <c r="L29" s="64">
        <f t="shared" si="3"/>
        <v>-16.6667</v>
      </c>
      <c r="M29" s="62">
        <v>1</v>
      </c>
      <c r="N29" s="63"/>
      <c r="O29" s="64">
        <f t="shared" si="4"/>
        <v>-16.4706</v>
      </c>
      <c r="P29" s="92">
        <v>1</v>
      </c>
      <c r="Q29" s="101">
        <v>200</v>
      </c>
      <c r="R29" s="64">
        <f t="shared" si="5"/>
        <v>-15.7895</v>
      </c>
      <c r="S29" s="62"/>
      <c r="T29" s="66"/>
      <c r="U29" s="76">
        <f t="shared" si="0"/>
        <v>188.1195</v>
      </c>
      <c r="W29" s="86"/>
    </row>
    <row r="30" spans="1:23" ht="12.75">
      <c r="A30" s="2">
        <v>28</v>
      </c>
      <c r="B30" s="80" t="s">
        <v>80</v>
      </c>
      <c r="C30" s="43">
        <f>'2013年1月'!U30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'2013年1月'!U31</f>
        <v>53.7188</v>
      </c>
      <c r="D31" s="44">
        <v>1</v>
      </c>
      <c r="E31" s="74"/>
      <c r="F31" s="46">
        <f t="shared" si="1"/>
        <v>-13.6363</v>
      </c>
      <c r="G31" s="44"/>
      <c r="H31" s="74"/>
      <c r="I31" s="46">
        <f t="shared" si="2"/>
        <v>0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/>
      <c r="Q31" s="102"/>
      <c r="R31" s="46">
        <f t="shared" si="5"/>
        <v>0</v>
      </c>
      <c r="S31" s="44"/>
      <c r="T31" s="47"/>
      <c r="U31" s="76">
        <f t="shared" si="0"/>
        <v>40.0825</v>
      </c>
      <c r="W31" s="86"/>
    </row>
    <row r="32" spans="1:23" ht="12.75">
      <c r="A32" s="2">
        <v>30</v>
      </c>
      <c r="B32" s="80" t="s">
        <v>54</v>
      </c>
      <c r="C32" s="43">
        <f>'2013年1月'!U32</f>
        <v>185</v>
      </c>
      <c r="D32" s="48">
        <v>1</v>
      </c>
      <c r="E32" s="74"/>
      <c r="F32" s="46">
        <f t="shared" si="1"/>
        <v>-13.6363</v>
      </c>
      <c r="G32" s="48">
        <v>1</v>
      </c>
      <c r="H32" s="74"/>
      <c r="I32" s="46">
        <f t="shared" si="2"/>
        <v>-13.4091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157.9546</v>
      </c>
      <c r="W32" s="86"/>
    </row>
    <row r="33" spans="1:23" ht="12.75">
      <c r="A33" s="2">
        <v>31</v>
      </c>
      <c r="B33" s="77"/>
      <c r="C33" s="49">
        <f>'2013年1月'!U33</f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>
        <f>-16.4706*M33</f>
        <v>0</v>
      </c>
      <c r="P33" s="87"/>
      <c r="Q33" s="96"/>
      <c r="R33" s="52">
        <f t="shared" si="5"/>
        <v>0</v>
      </c>
      <c r="S33" s="50"/>
      <c r="T33" s="53"/>
      <c r="U33" s="76">
        <f t="shared" si="0"/>
        <v>0</v>
      </c>
      <c r="W33" s="86"/>
    </row>
    <row r="34" spans="1:23" ht="12.75">
      <c r="A34" s="2">
        <v>32</v>
      </c>
      <c r="B34" s="77"/>
      <c r="C34" s="49">
        <f>'2013年1月'!U34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'2013年1月'!U35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81</v>
      </c>
      <c r="C36" s="55">
        <f>'2013年1月'!U36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'2013年1月'!U37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'2013年1月'!U38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'2013年1月'!U39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'2013年1月'!U40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'2013年1月'!U41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22</v>
      </c>
      <c r="F43" s="1">
        <f>E54/D43</f>
        <v>13.636363636363637</v>
      </c>
      <c r="G43" s="1">
        <f>SUM(G3:G41)</f>
        <v>22</v>
      </c>
      <c r="I43" s="1">
        <f>H54/G43</f>
        <v>13.409090909090908</v>
      </c>
      <c r="J43" s="1">
        <f>SUM(J3:J41)</f>
        <v>18</v>
      </c>
      <c r="L43" s="1">
        <f>K54/J43</f>
        <v>16.666666666666668</v>
      </c>
      <c r="M43" s="1">
        <f>SUM(M3:M41)</f>
        <v>17</v>
      </c>
      <c r="O43" s="1">
        <f>N54/M43</f>
        <v>16.470588235294116</v>
      </c>
      <c r="P43" s="1">
        <f>SUM(P3:P41)</f>
        <v>19</v>
      </c>
      <c r="R43" s="1">
        <f>Q54/P43</f>
        <v>15.789473684210526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-299.99860000000007</v>
      </c>
      <c r="H45" s="28" t="s">
        <v>84</v>
      </c>
      <c r="I45" s="1">
        <f>SUM(I3:I41)</f>
        <v>-300.0002</v>
      </c>
      <c r="K45" s="28" t="s">
        <v>84</v>
      </c>
      <c r="L45" s="1">
        <f>SUM(L3:L41)</f>
        <v>-300.0005999999999</v>
      </c>
      <c r="N45" s="28" t="s">
        <v>84</v>
      </c>
      <c r="O45" s="1">
        <f>SUM(O3:O41)</f>
        <v>-280.00019999999995</v>
      </c>
      <c r="Q45" s="28" t="s">
        <v>84</v>
      </c>
      <c r="R45" s="1">
        <f>SUM(R3:R41)</f>
        <v>-300.0005</v>
      </c>
      <c r="U45" s="19"/>
    </row>
    <row r="46" spans="2:21" ht="12.75">
      <c r="B46" s="29" t="s">
        <v>85</v>
      </c>
      <c r="C46" s="27">
        <f>SUM(C3:C41)</f>
        <v>2330.0577000000003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2599.9999999999995</v>
      </c>
      <c r="W47" s="86">
        <f>U47</f>
        <v>2599.9999999999995</v>
      </c>
    </row>
    <row r="48" spans="2:20" ht="12.75" customHeight="1">
      <c r="B48" s="86"/>
      <c r="D48" s="117" t="s">
        <v>48</v>
      </c>
      <c r="E48" s="118"/>
      <c r="F48" s="119"/>
      <c r="G48" s="117" t="s">
        <v>49</v>
      </c>
      <c r="H48" s="118"/>
      <c r="I48" s="119"/>
      <c r="J48" s="117" t="s">
        <v>50</v>
      </c>
      <c r="K48" s="118"/>
      <c r="L48" s="119"/>
      <c r="M48" s="117" t="s">
        <v>51</v>
      </c>
      <c r="N48" s="118"/>
      <c r="O48" s="119"/>
      <c r="P48" s="117" t="s">
        <v>55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86</v>
      </c>
      <c r="E54" s="36">
        <f>E56-E72-E81</f>
        <v>300</v>
      </c>
      <c r="F54" s="37"/>
      <c r="G54" s="38" t="s">
        <v>87</v>
      </c>
      <c r="H54" s="36">
        <f>H56-H72-H81</f>
        <v>295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280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 t="s">
        <v>93</v>
      </c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89</v>
      </c>
      <c r="E68" s="112"/>
      <c r="G68" s="111" t="s">
        <v>89</v>
      </c>
      <c r="H68" s="112"/>
      <c r="J68" s="111" t="s">
        <v>89</v>
      </c>
      <c r="K68" s="112"/>
      <c r="M68" s="111" t="s">
        <v>89</v>
      </c>
      <c r="N68" s="112"/>
      <c r="P68" s="111" t="s">
        <v>89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>
        <v>20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 t="s">
        <v>92</v>
      </c>
      <c r="H77" s="1">
        <v>5</v>
      </c>
      <c r="J77" s="105"/>
      <c r="K77" s="28"/>
      <c r="M77" s="105"/>
      <c r="P77" s="105"/>
    </row>
    <row r="81" spans="7:8" ht="12.75">
      <c r="G81" s="28"/>
      <c r="H81" s="1">
        <f>SUM(H77:H80)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 t="s">
        <v>65</v>
      </c>
      <c r="Q87" s="28"/>
      <c r="R87" s="42"/>
    </row>
    <row r="88" ht="12.75">
      <c r="P88" s="28"/>
    </row>
    <row r="89" ht="12.75"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P90:R91"/>
    <mergeCell ref="M83:O85"/>
    <mergeCell ref="P83:R85"/>
    <mergeCell ref="M90:O91"/>
    <mergeCell ref="M68:N68"/>
    <mergeCell ref="G75:H75"/>
    <mergeCell ref="G83:I85"/>
    <mergeCell ref="J83:L8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J60:L60"/>
    <mergeCell ref="D1:F1"/>
    <mergeCell ref="D48:F52"/>
    <mergeCell ref="D62:F64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N25" sqref="N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41370</v>
      </c>
      <c r="E1" s="126"/>
      <c r="F1" s="127"/>
      <c r="G1" s="16"/>
      <c r="H1" s="24">
        <v>41378</v>
      </c>
      <c r="I1" s="17"/>
      <c r="J1" s="30"/>
      <c r="K1" s="24">
        <v>41385</v>
      </c>
      <c r="L1" s="31"/>
      <c r="M1" s="16"/>
      <c r="N1" s="24">
        <v>41392</v>
      </c>
      <c r="O1" s="17"/>
      <c r="P1" s="16"/>
      <c r="Q1" s="24">
        <v>41399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'2013年3月'!U3</f>
        <v>60.17069999999998</v>
      </c>
      <c r="D3" s="50">
        <v>1</v>
      </c>
      <c r="E3" s="51"/>
      <c r="F3" s="52">
        <f>-18.75*D3</f>
        <v>-18.75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-15*J3</f>
        <v>-15</v>
      </c>
      <c r="M3" s="50">
        <v>1</v>
      </c>
      <c r="N3" s="51"/>
      <c r="O3" s="52">
        <f>-18.75*M3</f>
        <v>-18.75</v>
      </c>
      <c r="P3" s="87">
        <v>1</v>
      </c>
      <c r="Q3" s="96">
        <v>80</v>
      </c>
      <c r="R3" s="52">
        <f>-13.0952*P3</f>
        <v>-13.0952</v>
      </c>
      <c r="S3" s="50"/>
      <c r="T3" s="53"/>
      <c r="U3" s="76">
        <f aca="true" t="shared" si="0" ref="U3:U41">C3+E3+F3+H3+I3+K3+L3+N3+O3+T3+Q3+R3</f>
        <v>59.575499999999984</v>
      </c>
      <c r="W3" s="86"/>
    </row>
    <row r="4" spans="1:23" ht="12.75">
      <c r="A4" s="2">
        <v>2</v>
      </c>
      <c r="B4" s="75" t="s">
        <v>3</v>
      </c>
      <c r="C4" s="49">
        <f>'2013年3月'!U4</f>
        <v>70.1057</v>
      </c>
      <c r="D4" s="50"/>
      <c r="E4" s="51"/>
      <c r="F4" s="52">
        <f aca="true" t="shared" si="1" ref="F4:F41">-18.75*D4</f>
        <v>0</v>
      </c>
      <c r="G4" s="50">
        <v>1</v>
      </c>
      <c r="H4" s="51"/>
      <c r="I4" s="52">
        <f aca="true" t="shared" si="2" ref="I4:I41">-15*G4</f>
        <v>-15</v>
      </c>
      <c r="J4" s="50">
        <v>1</v>
      </c>
      <c r="K4" s="51"/>
      <c r="L4" s="52">
        <f aca="true" t="shared" si="3" ref="L4:L41">-15*J4</f>
        <v>-15</v>
      </c>
      <c r="M4" s="50">
        <v>1</v>
      </c>
      <c r="N4" s="51"/>
      <c r="O4" s="52">
        <f aca="true" t="shared" si="4" ref="O4:O41">-18.75*M4</f>
        <v>-18.75</v>
      </c>
      <c r="P4" s="87">
        <v>1</v>
      </c>
      <c r="Q4" s="96"/>
      <c r="R4" s="52">
        <f aca="true" t="shared" si="5" ref="R4:R41">-13.0952*P4</f>
        <v>-13.0952</v>
      </c>
      <c r="S4" s="54"/>
      <c r="T4" s="53"/>
      <c r="U4" s="76">
        <f t="shared" si="0"/>
        <v>8.260499999999999</v>
      </c>
      <c r="W4" s="86"/>
    </row>
    <row r="5" spans="1:23" ht="12.75">
      <c r="A5" s="2">
        <v>3</v>
      </c>
      <c r="B5" s="77" t="s">
        <v>58</v>
      </c>
      <c r="C5" s="49">
        <f>'2013年3月'!U5</f>
        <v>98.08389999999999</v>
      </c>
      <c r="D5" s="50">
        <v>1</v>
      </c>
      <c r="E5" s="51"/>
      <c r="F5" s="52">
        <f t="shared" si="1"/>
        <v>-18.75</v>
      </c>
      <c r="G5" s="50">
        <v>1</v>
      </c>
      <c r="H5" s="51"/>
      <c r="I5" s="52">
        <f t="shared" si="2"/>
        <v>-15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-13.0952</v>
      </c>
      <c r="S5" s="50"/>
      <c r="T5" s="53"/>
      <c r="U5" s="76">
        <f t="shared" si="0"/>
        <v>17.488699999999987</v>
      </c>
      <c r="W5" s="86"/>
    </row>
    <row r="6" spans="1:23" ht="12.75">
      <c r="A6" s="2">
        <v>4</v>
      </c>
      <c r="B6" s="110">
        <v>9631</v>
      </c>
      <c r="C6" s="55">
        <f>'2013年3月'!U6</f>
        <v>36.23089999999998</v>
      </c>
      <c r="D6" s="60">
        <v>1</v>
      </c>
      <c r="E6" s="57"/>
      <c r="F6" s="58">
        <f t="shared" si="1"/>
        <v>-18.75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-15</v>
      </c>
      <c r="M6" s="60">
        <v>1</v>
      </c>
      <c r="N6" s="57"/>
      <c r="O6" s="58">
        <f t="shared" si="4"/>
        <v>-18.75</v>
      </c>
      <c r="P6" s="88">
        <v>1</v>
      </c>
      <c r="Q6" s="97">
        <v>100</v>
      </c>
      <c r="R6" s="58">
        <f t="shared" si="5"/>
        <v>-13.0952</v>
      </c>
      <c r="S6" s="60"/>
      <c r="T6" s="59"/>
      <c r="U6" s="76">
        <f t="shared" si="0"/>
        <v>70.63569999999997</v>
      </c>
      <c r="W6" s="86"/>
    </row>
    <row r="7" spans="1:23" ht="12.75">
      <c r="A7" s="2">
        <v>5</v>
      </c>
      <c r="B7" s="78" t="s">
        <v>95</v>
      </c>
      <c r="C7" s="55">
        <f>'2013年3月'!U7</f>
        <v>171.726</v>
      </c>
      <c r="D7" s="56">
        <v>1</v>
      </c>
      <c r="E7" s="57"/>
      <c r="F7" s="58">
        <f t="shared" si="1"/>
        <v>-18.75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/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'2013年3月'!U8</f>
        <v>108.39640000000001</v>
      </c>
      <c r="D8" s="56"/>
      <c r="E8" s="57"/>
      <c r="F8" s="58">
        <f t="shared" si="1"/>
        <v>0</v>
      </c>
      <c r="G8" s="56">
        <v>1</v>
      </c>
      <c r="H8" s="57"/>
      <c r="I8" s="58">
        <f t="shared" si="2"/>
        <v>-15</v>
      </c>
      <c r="J8" s="56"/>
      <c r="K8" s="57"/>
      <c r="L8" s="58">
        <f t="shared" si="3"/>
        <v>0</v>
      </c>
      <c r="M8" s="56">
        <v>1</v>
      </c>
      <c r="N8" s="57"/>
      <c r="O8" s="58">
        <f t="shared" si="4"/>
        <v>-18.75</v>
      </c>
      <c r="P8" s="89">
        <v>1</v>
      </c>
      <c r="Q8" s="98"/>
      <c r="R8" s="58">
        <f t="shared" si="5"/>
        <v>-13.0952</v>
      </c>
      <c r="S8" s="60"/>
      <c r="T8" s="59"/>
      <c r="U8" s="76">
        <f t="shared" si="0"/>
        <v>61.551200000000016</v>
      </c>
      <c r="W8" s="86"/>
    </row>
    <row r="9" spans="1:23" ht="12.75">
      <c r="A9" s="2">
        <v>7</v>
      </c>
      <c r="B9" s="109" t="s">
        <v>61</v>
      </c>
      <c r="C9" s="67">
        <f>'2013年3月'!U9</f>
        <v>25.28639999999999</v>
      </c>
      <c r="D9" s="68"/>
      <c r="E9" s="69"/>
      <c r="F9" s="70">
        <f t="shared" si="1"/>
        <v>0</v>
      </c>
      <c r="G9" s="68">
        <v>1</v>
      </c>
      <c r="H9" s="69"/>
      <c r="I9" s="70">
        <f t="shared" si="2"/>
        <v>-15</v>
      </c>
      <c r="J9" s="68">
        <v>1</v>
      </c>
      <c r="K9" s="69"/>
      <c r="L9" s="70">
        <f t="shared" si="3"/>
        <v>-15</v>
      </c>
      <c r="M9" s="68">
        <v>1</v>
      </c>
      <c r="N9" s="69"/>
      <c r="O9" s="70">
        <f t="shared" si="4"/>
        <v>-18.75</v>
      </c>
      <c r="P9" s="90">
        <v>1</v>
      </c>
      <c r="Q9" s="99">
        <v>100</v>
      </c>
      <c r="R9" s="70">
        <f t="shared" si="5"/>
        <v>-13.0952</v>
      </c>
      <c r="S9" s="68"/>
      <c r="T9" s="71"/>
      <c r="U9" s="76">
        <f t="shared" si="0"/>
        <v>63.44119999999999</v>
      </c>
      <c r="W9" s="86"/>
    </row>
    <row r="10" spans="1:23" ht="12.75">
      <c r="A10" s="2">
        <v>8</v>
      </c>
      <c r="B10" s="81" t="s">
        <v>96</v>
      </c>
      <c r="C10" s="67">
        <f>'2013年3月'!U10</f>
        <v>199.87890000000004</v>
      </c>
      <c r="D10" s="72">
        <v>1</v>
      </c>
      <c r="E10" s="69"/>
      <c r="F10" s="70">
        <f t="shared" si="1"/>
        <v>-18.75</v>
      </c>
      <c r="G10" s="72">
        <v>1</v>
      </c>
      <c r="H10" s="69"/>
      <c r="I10" s="70">
        <f t="shared" si="2"/>
        <v>-15</v>
      </c>
      <c r="J10" s="72">
        <v>1</v>
      </c>
      <c r="K10" s="69"/>
      <c r="L10" s="70">
        <f t="shared" si="3"/>
        <v>-15</v>
      </c>
      <c r="M10" s="72">
        <v>1</v>
      </c>
      <c r="N10" s="69"/>
      <c r="O10" s="70">
        <f t="shared" si="4"/>
        <v>-18.75</v>
      </c>
      <c r="P10" s="91">
        <v>1</v>
      </c>
      <c r="Q10" s="100"/>
      <c r="R10" s="70">
        <f>-13.0952*P10-5</f>
        <v>-18.0952</v>
      </c>
      <c r="S10" s="72"/>
      <c r="T10" s="71"/>
      <c r="U10" s="76">
        <f t="shared" si="0"/>
        <v>114.28370000000004</v>
      </c>
      <c r="W10" s="86"/>
    </row>
    <row r="11" spans="1:23" ht="12.75">
      <c r="A11" s="2">
        <v>9</v>
      </c>
      <c r="B11" s="109" t="s">
        <v>63</v>
      </c>
      <c r="C11" s="67">
        <f>'2013年3月'!U11</f>
        <v>81.24489999999999</v>
      </c>
      <c r="D11" s="68">
        <v>1</v>
      </c>
      <c r="E11" s="69"/>
      <c r="F11" s="70">
        <f t="shared" si="1"/>
        <v>-18.75</v>
      </c>
      <c r="G11" s="68">
        <v>1</v>
      </c>
      <c r="H11" s="69"/>
      <c r="I11" s="70">
        <f t="shared" si="2"/>
        <v>-15</v>
      </c>
      <c r="J11" s="68">
        <v>1</v>
      </c>
      <c r="K11" s="69"/>
      <c r="L11" s="70">
        <f t="shared" si="3"/>
        <v>-15</v>
      </c>
      <c r="M11" s="68">
        <v>1</v>
      </c>
      <c r="N11" s="69"/>
      <c r="O11" s="70">
        <f t="shared" si="4"/>
        <v>-18.75</v>
      </c>
      <c r="P11" s="90">
        <v>1</v>
      </c>
      <c r="Q11" s="99"/>
      <c r="R11" s="70">
        <f t="shared" si="5"/>
        <v>-13.0952</v>
      </c>
      <c r="S11" s="68"/>
      <c r="T11" s="71"/>
      <c r="U11" s="76">
        <f t="shared" si="0"/>
        <v>0.6496999999999868</v>
      </c>
      <c r="W11" s="86"/>
    </row>
    <row r="12" spans="1:23" ht="12.75">
      <c r="A12" s="2">
        <v>10</v>
      </c>
      <c r="B12" s="79" t="s">
        <v>64</v>
      </c>
      <c r="C12" s="61">
        <f>'2013年3月'!U12</f>
        <v>68.63539999999999</v>
      </c>
      <c r="D12" s="62">
        <v>1</v>
      </c>
      <c r="E12" s="63"/>
      <c r="F12" s="64">
        <f t="shared" si="1"/>
        <v>-18.75</v>
      </c>
      <c r="G12" s="62">
        <v>1</v>
      </c>
      <c r="H12" s="63"/>
      <c r="I12" s="64">
        <f t="shared" si="2"/>
        <v>-15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/>
      <c r="T12" s="66"/>
      <c r="U12" s="76">
        <f t="shared" si="0"/>
        <v>34.88539999999999</v>
      </c>
      <c r="W12" s="86"/>
    </row>
    <row r="13" spans="1:23" ht="12.75">
      <c r="A13" s="2">
        <v>11</v>
      </c>
      <c r="B13" s="79" t="s">
        <v>65</v>
      </c>
      <c r="C13" s="61">
        <f>'2013年3月'!U13</f>
        <v>-41.3048</v>
      </c>
      <c r="D13" s="62">
        <v>1</v>
      </c>
      <c r="E13" s="63">
        <v>200</v>
      </c>
      <c r="F13" s="64">
        <f t="shared" si="1"/>
        <v>-18.75</v>
      </c>
      <c r="G13" s="62">
        <v>1</v>
      </c>
      <c r="H13" s="63"/>
      <c r="I13" s="64">
        <f t="shared" si="2"/>
        <v>-15</v>
      </c>
      <c r="J13" s="62">
        <v>1</v>
      </c>
      <c r="K13" s="63"/>
      <c r="L13" s="64">
        <f t="shared" si="3"/>
        <v>-15</v>
      </c>
      <c r="M13" s="62">
        <v>1</v>
      </c>
      <c r="N13" s="106"/>
      <c r="O13" s="64">
        <f t="shared" si="4"/>
        <v>-18.75</v>
      </c>
      <c r="P13" s="92">
        <v>1</v>
      </c>
      <c r="Q13" s="101"/>
      <c r="R13" s="64">
        <f t="shared" si="5"/>
        <v>-13.0952</v>
      </c>
      <c r="S13" s="65"/>
      <c r="T13" s="66"/>
      <c r="U13" s="76">
        <f t="shared" si="0"/>
        <v>78.1</v>
      </c>
      <c r="W13" s="86"/>
    </row>
    <row r="14" spans="1:23" ht="12.75">
      <c r="A14" s="2">
        <v>12</v>
      </c>
      <c r="B14" s="79" t="s">
        <v>66</v>
      </c>
      <c r="C14" s="61">
        <f>'2013年3月'!U14</f>
        <v>53.784299999999995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53.784299999999995</v>
      </c>
      <c r="W14" s="86"/>
    </row>
    <row r="15" spans="1:23" ht="12.75">
      <c r="A15" s="2">
        <v>13</v>
      </c>
      <c r="B15" s="80" t="s">
        <v>67</v>
      </c>
      <c r="C15" s="43">
        <f>'2013年3月'!U15</f>
        <v>76.5468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-15</v>
      </c>
      <c r="J15" s="44">
        <v>1</v>
      </c>
      <c r="K15" s="45"/>
      <c r="L15" s="46">
        <f t="shared" si="3"/>
        <v>-15</v>
      </c>
      <c r="M15" s="44">
        <v>1</v>
      </c>
      <c r="N15" s="45">
        <v>100</v>
      </c>
      <c r="O15" s="46">
        <f t="shared" si="4"/>
        <v>-18.75</v>
      </c>
      <c r="P15" s="93">
        <v>1</v>
      </c>
      <c r="Q15" s="102"/>
      <c r="R15" s="46">
        <f t="shared" si="5"/>
        <v>-13.0952</v>
      </c>
      <c r="S15" s="48"/>
      <c r="T15" s="47"/>
      <c r="U15" s="76">
        <f t="shared" si="0"/>
        <v>114.70160000000001</v>
      </c>
      <c r="W15" s="86"/>
    </row>
    <row r="16" spans="1:23" ht="12.75">
      <c r="A16" s="2">
        <v>14</v>
      </c>
      <c r="B16" s="80" t="s">
        <v>53</v>
      </c>
      <c r="C16" s="43">
        <f>'2013年3月'!U16</f>
        <v>18.6189</v>
      </c>
      <c r="D16" s="44">
        <v>1</v>
      </c>
      <c r="E16" s="45"/>
      <c r="F16" s="46">
        <f t="shared" si="1"/>
        <v>-18.75</v>
      </c>
      <c r="G16" s="44">
        <v>1</v>
      </c>
      <c r="H16" s="45">
        <v>100</v>
      </c>
      <c r="I16" s="46">
        <f t="shared" si="2"/>
        <v>-15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-18.75</v>
      </c>
      <c r="P16" s="93"/>
      <c r="Q16" s="102"/>
      <c r="R16" s="46">
        <f t="shared" si="5"/>
        <v>0</v>
      </c>
      <c r="S16" s="44"/>
      <c r="T16" s="47"/>
      <c r="U16" s="76">
        <f t="shared" si="0"/>
        <v>51.1189</v>
      </c>
      <c r="W16" s="86"/>
    </row>
    <row r="17" spans="1:23" ht="12.75">
      <c r="A17" s="2">
        <v>15</v>
      </c>
      <c r="B17" s="80" t="s">
        <v>94</v>
      </c>
      <c r="C17" s="43">
        <f>'2013年3月'!U17</f>
        <v>190.6182</v>
      </c>
      <c r="D17" s="44">
        <v>1</v>
      </c>
      <c r="E17" s="45"/>
      <c r="F17" s="46">
        <f t="shared" si="1"/>
        <v>-18.75</v>
      </c>
      <c r="G17" s="44">
        <v>1</v>
      </c>
      <c r="H17" s="45"/>
      <c r="I17" s="46">
        <f t="shared" si="2"/>
        <v>-15</v>
      </c>
      <c r="J17" s="44">
        <v>1</v>
      </c>
      <c r="K17" s="45"/>
      <c r="L17" s="46">
        <f t="shared" si="3"/>
        <v>-15</v>
      </c>
      <c r="M17" s="44">
        <v>1</v>
      </c>
      <c r="N17" s="45"/>
      <c r="O17" s="46">
        <f t="shared" si="4"/>
        <v>-18.75</v>
      </c>
      <c r="P17" s="93">
        <v>1</v>
      </c>
      <c r="Q17" s="102"/>
      <c r="R17" s="46">
        <f t="shared" si="5"/>
        <v>-13.0952</v>
      </c>
      <c r="S17" s="48"/>
      <c r="T17" s="47"/>
      <c r="U17" s="76">
        <f t="shared" si="0"/>
        <v>110.023</v>
      </c>
      <c r="W17" s="86"/>
    </row>
    <row r="18" spans="1:23" ht="12.75">
      <c r="A18" s="2">
        <v>16</v>
      </c>
      <c r="B18" s="77" t="s">
        <v>68</v>
      </c>
      <c r="C18" s="49">
        <f>'2013年3月'!U18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'2013年3月'!U19</f>
        <v>7.842599999999997</v>
      </c>
      <c r="D19" s="50">
        <v>1</v>
      </c>
      <c r="E19" s="51"/>
      <c r="F19" s="52">
        <f t="shared" si="1"/>
        <v>-18.75</v>
      </c>
      <c r="G19" s="50">
        <v>1</v>
      </c>
      <c r="H19" s="51">
        <v>100</v>
      </c>
      <c r="I19" s="52">
        <f t="shared" si="2"/>
        <v>-15</v>
      </c>
      <c r="J19" s="50">
        <v>1</v>
      </c>
      <c r="K19" s="51"/>
      <c r="L19" s="52">
        <f t="shared" si="3"/>
        <v>-15</v>
      </c>
      <c r="M19" s="50"/>
      <c r="N19" s="51"/>
      <c r="O19" s="52">
        <f t="shared" si="4"/>
        <v>0</v>
      </c>
      <c r="P19" s="87">
        <v>1</v>
      </c>
      <c r="Q19" s="96"/>
      <c r="R19" s="52">
        <f t="shared" si="5"/>
        <v>-13.0952</v>
      </c>
      <c r="S19" s="54"/>
      <c r="T19" s="53"/>
      <c r="U19" s="76">
        <f t="shared" si="0"/>
        <v>45.997400000000006</v>
      </c>
      <c r="W19" s="86"/>
    </row>
    <row r="20" spans="1:23" ht="12.75">
      <c r="A20" s="2">
        <v>18</v>
      </c>
      <c r="B20" s="77" t="s">
        <v>97</v>
      </c>
      <c r="C20" s="49">
        <f>'2013年3月'!U20</f>
        <v>113.1907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-13.0952</v>
      </c>
      <c r="S20" s="50"/>
      <c r="T20" s="53"/>
      <c r="U20" s="76">
        <f t="shared" si="0"/>
        <v>100.0955</v>
      </c>
      <c r="W20" s="86"/>
    </row>
    <row r="21" spans="1:23" ht="12.75">
      <c r="A21" s="2">
        <v>19</v>
      </c>
      <c r="B21" s="78" t="s">
        <v>71</v>
      </c>
      <c r="C21" s="55">
        <f>'2013年3月'!U21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'2013年3月'!U22</f>
        <v>13.033899999999996</v>
      </c>
      <c r="D22" s="56">
        <v>1</v>
      </c>
      <c r="E22" s="57"/>
      <c r="F22" s="58">
        <f t="shared" si="1"/>
        <v>-18.75</v>
      </c>
      <c r="G22" s="56">
        <v>1</v>
      </c>
      <c r="H22" s="57"/>
      <c r="I22" s="58">
        <f t="shared" si="2"/>
        <v>-15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>
        <v>100</v>
      </c>
      <c r="R22" s="58">
        <f t="shared" si="5"/>
        <v>-13.0952</v>
      </c>
      <c r="S22" s="56"/>
      <c r="T22" s="59"/>
      <c r="U22" s="76">
        <f t="shared" si="0"/>
        <v>66.18869999999998</v>
      </c>
      <c r="W22" s="86"/>
    </row>
    <row r="23" spans="1:23" ht="12.75">
      <c r="A23" s="2">
        <v>21</v>
      </c>
      <c r="B23" s="78" t="s">
        <v>73</v>
      </c>
      <c r="C23" s="55">
        <f>'2013年3月'!U23</f>
        <v>203.13899999999995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-15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-18.75</v>
      </c>
      <c r="P23" s="89">
        <v>2</v>
      </c>
      <c r="Q23" s="98"/>
      <c r="R23" s="58">
        <f t="shared" si="5"/>
        <v>-26.1904</v>
      </c>
      <c r="S23" s="60"/>
      <c r="T23" s="59"/>
      <c r="U23" s="76">
        <f t="shared" si="0"/>
        <v>128.19859999999994</v>
      </c>
      <c r="W23" s="86"/>
    </row>
    <row r="24" spans="1:23" ht="12.75">
      <c r="A24" s="2">
        <v>22</v>
      </c>
      <c r="B24" s="81" t="s">
        <v>74</v>
      </c>
      <c r="C24" s="67">
        <f>'2013年3月'!U24</f>
        <v>-10.218999999999998</v>
      </c>
      <c r="D24" s="68">
        <v>1</v>
      </c>
      <c r="E24" s="69"/>
      <c r="F24" s="70">
        <f t="shared" si="1"/>
        <v>-18.75</v>
      </c>
      <c r="G24" s="68">
        <v>1</v>
      </c>
      <c r="H24" s="69">
        <v>200</v>
      </c>
      <c r="I24" s="70">
        <f t="shared" si="2"/>
        <v>-15</v>
      </c>
      <c r="J24" s="68">
        <v>1</v>
      </c>
      <c r="K24" s="69"/>
      <c r="L24" s="70">
        <f t="shared" si="3"/>
        <v>-15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-13.0952</v>
      </c>
      <c r="S24" s="68"/>
      <c r="T24" s="71"/>
      <c r="U24" s="76">
        <f t="shared" si="0"/>
        <v>127.9358</v>
      </c>
      <c r="W24" s="86"/>
    </row>
    <row r="25" spans="1:23" ht="12.75">
      <c r="A25" s="2">
        <v>23</v>
      </c>
      <c r="B25" s="81" t="s">
        <v>75</v>
      </c>
      <c r="C25" s="67">
        <f>'2013年3月'!U25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'2013年3月'!U26</f>
        <v>177.0533</v>
      </c>
      <c r="D26" s="68">
        <v>1</v>
      </c>
      <c r="E26" s="69"/>
      <c r="F26" s="70">
        <f t="shared" si="1"/>
        <v>-18.75</v>
      </c>
      <c r="G26" s="68">
        <v>1</v>
      </c>
      <c r="H26" s="69"/>
      <c r="I26" s="70">
        <f t="shared" si="2"/>
        <v>-15</v>
      </c>
      <c r="J26" s="68">
        <v>1</v>
      </c>
      <c r="K26" s="69"/>
      <c r="L26" s="70">
        <f t="shared" si="3"/>
        <v>-15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128.3033</v>
      </c>
      <c r="W26" s="86"/>
    </row>
    <row r="27" spans="1:23" ht="12.75">
      <c r="A27" s="2">
        <v>25</v>
      </c>
      <c r="B27" s="79" t="s">
        <v>98</v>
      </c>
      <c r="C27" s="61">
        <f>'2013年3月'!U27</f>
        <v>48.054799999999986</v>
      </c>
      <c r="D27" s="62"/>
      <c r="E27" s="73"/>
      <c r="F27" s="64">
        <f t="shared" si="1"/>
        <v>0</v>
      </c>
      <c r="G27" s="62">
        <v>1</v>
      </c>
      <c r="H27" s="73"/>
      <c r="I27" s="64">
        <f t="shared" si="2"/>
        <v>-15</v>
      </c>
      <c r="J27" s="62">
        <v>1</v>
      </c>
      <c r="K27" s="73"/>
      <c r="L27" s="64">
        <f t="shared" si="3"/>
        <v>-15</v>
      </c>
      <c r="M27" s="62">
        <v>1</v>
      </c>
      <c r="N27" s="73"/>
      <c r="O27" s="64">
        <f t="shared" si="4"/>
        <v>-18.75</v>
      </c>
      <c r="P27" s="92"/>
      <c r="Q27" s="101"/>
      <c r="R27" s="64">
        <f t="shared" si="5"/>
        <v>0</v>
      </c>
      <c r="S27" s="62"/>
      <c r="T27" s="66"/>
      <c r="U27" s="76">
        <f t="shared" si="0"/>
        <v>-0.695200000000014</v>
      </c>
      <c r="W27" s="86"/>
    </row>
    <row r="28" spans="1:23" ht="12.75">
      <c r="A28" s="2">
        <v>26</v>
      </c>
      <c r="B28" s="79" t="s">
        <v>99</v>
      </c>
      <c r="C28" s="61">
        <f>'2013年3月'!U28</f>
        <v>395.6429</v>
      </c>
      <c r="D28" s="65"/>
      <c r="E28" s="73"/>
      <c r="F28" s="64">
        <f t="shared" si="1"/>
        <v>0</v>
      </c>
      <c r="G28" s="65"/>
      <c r="H28" s="73"/>
      <c r="I28" s="64">
        <f t="shared" si="2"/>
        <v>0</v>
      </c>
      <c r="J28" s="65">
        <v>1</v>
      </c>
      <c r="K28" s="73"/>
      <c r="L28" s="64">
        <f t="shared" si="3"/>
        <v>-15</v>
      </c>
      <c r="M28" s="65">
        <v>1</v>
      </c>
      <c r="N28" s="73"/>
      <c r="O28" s="64">
        <f t="shared" si="4"/>
        <v>-18.75</v>
      </c>
      <c r="P28" s="94">
        <v>1</v>
      </c>
      <c r="Q28" s="103"/>
      <c r="R28" s="64">
        <f t="shared" si="5"/>
        <v>-13.0952</v>
      </c>
      <c r="S28" s="65"/>
      <c r="T28" s="66"/>
      <c r="U28" s="76">
        <f t="shared" si="0"/>
        <v>348.7977</v>
      </c>
      <c r="W28" s="86"/>
    </row>
    <row r="29" spans="1:23" ht="12.75">
      <c r="A29" s="2">
        <v>27</v>
      </c>
      <c r="B29" s="79" t="s">
        <v>100</v>
      </c>
      <c r="C29" s="61">
        <f>'2013年3月'!U29</f>
        <v>188.1195</v>
      </c>
      <c r="D29" s="62">
        <v>1</v>
      </c>
      <c r="E29" s="63"/>
      <c r="F29" s="64">
        <f t="shared" si="1"/>
        <v>-18.75</v>
      </c>
      <c r="G29" s="62">
        <v>1</v>
      </c>
      <c r="H29" s="63"/>
      <c r="I29" s="64">
        <f t="shared" si="2"/>
        <v>-15</v>
      </c>
      <c r="J29" s="62">
        <v>1</v>
      </c>
      <c r="K29" s="63"/>
      <c r="L29" s="64">
        <f t="shared" si="3"/>
        <v>-15</v>
      </c>
      <c r="M29" s="62"/>
      <c r="N29" s="63"/>
      <c r="O29" s="64">
        <f t="shared" si="4"/>
        <v>0</v>
      </c>
      <c r="P29" s="92">
        <v>1</v>
      </c>
      <c r="Q29" s="101"/>
      <c r="R29" s="64">
        <f t="shared" si="5"/>
        <v>-13.0952</v>
      </c>
      <c r="S29" s="62"/>
      <c r="T29" s="66"/>
      <c r="U29" s="76">
        <f t="shared" si="0"/>
        <v>126.27429999999998</v>
      </c>
      <c r="W29" s="86"/>
    </row>
    <row r="30" spans="1:23" ht="12.75">
      <c r="A30" s="2">
        <v>28</v>
      </c>
      <c r="B30" s="80" t="s">
        <v>80</v>
      </c>
      <c r="C30" s="43">
        <f>'2013年3月'!U30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'2013年3月'!U31</f>
        <v>40.0825</v>
      </c>
      <c r="D31" s="44">
        <v>1</v>
      </c>
      <c r="E31" s="74"/>
      <c r="F31" s="46">
        <f t="shared" si="1"/>
        <v>-18.75</v>
      </c>
      <c r="G31" s="44">
        <v>1</v>
      </c>
      <c r="H31" s="74"/>
      <c r="I31" s="46">
        <f t="shared" si="2"/>
        <v>-15</v>
      </c>
      <c r="J31" s="44">
        <v>2</v>
      </c>
      <c r="K31" s="74">
        <v>100</v>
      </c>
      <c r="L31" s="46">
        <f t="shared" si="3"/>
        <v>-30</v>
      </c>
      <c r="M31" s="44"/>
      <c r="N31" s="74"/>
      <c r="O31" s="46">
        <f t="shared" si="4"/>
        <v>0</v>
      </c>
      <c r="P31" s="93">
        <v>1</v>
      </c>
      <c r="Q31" s="102"/>
      <c r="R31" s="46">
        <f t="shared" si="5"/>
        <v>-13.0952</v>
      </c>
      <c r="S31" s="44"/>
      <c r="T31" s="47"/>
      <c r="U31" s="76">
        <f t="shared" si="0"/>
        <v>63.23730000000001</v>
      </c>
      <c r="W31" s="86"/>
    </row>
    <row r="32" spans="1:23" ht="12.75">
      <c r="A32" s="2">
        <v>30</v>
      </c>
      <c r="B32" s="80" t="s">
        <v>54</v>
      </c>
      <c r="C32" s="43">
        <f>'2013年3月'!U32</f>
        <v>157.9546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157.9546</v>
      </c>
      <c r="W32" s="86"/>
    </row>
    <row r="33" spans="1:23" ht="12.75">
      <c r="A33" s="2">
        <v>31</v>
      </c>
      <c r="B33" s="77" t="s">
        <v>104</v>
      </c>
      <c r="C33" s="49">
        <f>'2013年3月'!U33</f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>
        <v>100</v>
      </c>
      <c r="O33" s="52">
        <f t="shared" si="4"/>
        <v>-18.75</v>
      </c>
      <c r="P33" s="87">
        <v>1</v>
      </c>
      <c r="Q33" s="96"/>
      <c r="R33" s="52">
        <f t="shared" si="5"/>
        <v>-13.0952</v>
      </c>
      <c r="S33" s="50"/>
      <c r="T33" s="53"/>
      <c r="U33" s="76">
        <f t="shared" si="0"/>
        <v>68.1548</v>
      </c>
      <c r="W33" s="86"/>
    </row>
    <row r="34" spans="1:23" ht="12.75">
      <c r="A34" s="2">
        <v>32</v>
      </c>
      <c r="B34" s="77"/>
      <c r="C34" s="49">
        <f>'2013年3月'!U34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'2013年3月'!U35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'2013年3月'!U36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'2013年3月'!U37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'2013年3月'!U38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'2013年3月'!U39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'2013年3月'!U40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32</v>
      </c>
      <c r="D43" s="1">
        <f>SUM(D3:D41)</f>
        <v>16</v>
      </c>
      <c r="F43" s="1">
        <f>E54/D43</f>
        <v>18.75</v>
      </c>
      <c r="G43" s="1">
        <f>SUM(G3:G41)</f>
        <v>20</v>
      </c>
      <c r="I43" s="1">
        <f>H54/G43</f>
        <v>15</v>
      </c>
      <c r="J43" s="1">
        <f>SUM(J3:J41)</f>
        <v>20</v>
      </c>
      <c r="L43" s="1">
        <f>K54/J43</f>
        <v>15</v>
      </c>
      <c r="M43" s="1">
        <f>SUM(M3:M41)</f>
        <v>16</v>
      </c>
      <c r="O43" s="1">
        <f>N54/M43</f>
        <v>18.75</v>
      </c>
      <c r="P43" s="1">
        <f>SUM(P3:P41)</f>
        <v>21</v>
      </c>
      <c r="R43" s="1">
        <f>Q54/P43</f>
        <v>13.095238095238095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</v>
      </c>
      <c r="H45" s="28" t="s">
        <v>84</v>
      </c>
      <c r="I45" s="1">
        <f>SUM(I3:I41)</f>
        <v>-300</v>
      </c>
      <c r="K45" s="28" t="s">
        <v>84</v>
      </c>
      <c r="L45" s="1">
        <f>SUM(L3:L41)</f>
        <v>-300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-279.99920000000003</v>
      </c>
      <c r="U45" s="19"/>
    </row>
    <row r="46" spans="2:21" ht="12.75">
      <c r="B46" s="29" t="s">
        <v>85</v>
      </c>
      <c r="C46" s="27">
        <f>SUM(C3:C41)</f>
        <v>2599.9999999999995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2400.0008</v>
      </c>
      <c r="W47" s="86">
        <f>U47</f>
        <v>2400.0008</v>
      </c>
    </row>
    <row r="48" spans="2:20" ht="12.75" customHeight="1">
      <c r="B48" s="86"/>
      <c r="D48" s="117" t="s">
        <v>48</v>
      </c>
      <c r="E48" s="118"/>
      <c r="F48" s="119"/>
      <c r="G48" s="117" t="s">
        <v>49</v>
      </c>
      <c r="H48" s="118"/>
      <c r="I48" s="119"/>
      <c r="J48" s="117" t="s">
        <v>50</v>
      </c>
      <c r="K48" s="118"/>
      <c r="L48" s="119"/>
      <c r="M48" s="117" t="s">
        <v>51</v>
      </c>
      <c r="N48" s="118"/>
      <c r="O48" s="119"/>
      <c r="P48" s="117" t="s">
        <v>55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275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 t="s">
        <v>105</v>
      </c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 t="s">
        <v>106</v>
      </c>
      <c r="N65" s="113"/>
      <c r="O65" s="113"/>
      <c r="P65" s="113" t="s">
        <v>107</v>
      </c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>
        <v>20</v>
      </c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7" ht="24.75">
      <c r="D77" s="105"/>
      <c r="G77" s="105"/>
      <c r="J77" s="105"/>
      <c r="K77" s="28"/>
      <c r="M77" s="105"/>
      <c r="P77" s="105" t="s">
        <v>96</v>
      </c>
      <c r="Q77" s="1">
        <v>5</v>
      </c>
    </row>
    <row r="81" spans="7:17" ht="12.75">
      <c r="G81" s="28"/>
      <c r="Q81" s="1">
        <f>SUM(Q77:Q80)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24.75">
      <c r="D87" s="82"/>
      <c r="E87" s="28"/>
      <c r="F87" s="42"/>
      <c r="G87" s="82" t="s">
        <v>103</v>
      </c>
      <c r="H87" s="28"/>
      <c r="I87" s="42"/>
      <c r="J87" s="82" t="s">
        <v>94</v>
      </c>
      <c r="K87" s="28"/>
      <c r="L87" s="42"/>
      <c r="M87" s="82"/>
      <c r="N87" s="28"/>
      <c r="O87" s="42"/>
      <c r="P87" s="82"/>
      <c r="Q87" s="28"/>
      <c r="R87" s="42"/>
    </row>
    <row r="88" ht="12.75">
      <c r="P88" s="28"/>
    </row>
    <row r="89" ht="12.75"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D68:E68"/>
    <mergeCell ref="D65:F67"/>
    <mergeCell ref="S47:T47"/>
    <mergeCell ref="J48:L52"/>
    <mergeCell ref="M48:O52"/>
    <mergeCell ref="M62:O64"/>
    <mergeCell ref="P48:R52"/>
    <mergeCell ref="P62:R64"/>
    <mergeCell ref="S48:T52"/>
    <mergeCell ref="J60:L60"/>
    <mergeCell ref="M68:N68"/>
    <mergeCell ref="G75:H75"/>
    <mergeCell ref="G83:I85"/>
    <mergeCell ref="J83:L85"/>
    <mergeCell ref="M75:N75"/>
    <mergeCell ref="J68:K68"/>
    <mergeCell ref="P90:R91"/>
    <mergeCell ref="M83:O85"/>
    <mergeCell ref="P83:R85"/>
    <mergeCell ref="M90:O91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K96:L96"/>
    <mergeCell ref="K97:L97"/>
    <mergeCell ref="K98:L98"/>
    <mergeCell ref="K92:L92"/>
    <mergeCell ref="K93:L93"/>
    <mergeCell ref="K94:L94"/>
    <mergeCell ref="K95:L95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T5" sqref="T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41406</v>
      </c>
      <c r="E1" s="126"/>
      <c r="F1" s="127"/>
      <c r="G1" s="16"/>
      <c r="H1" s="24">
        <v>41413</v>
      </c>
      <c r="I1" s="17"/>
      <c r="J1" s="30"/>
      <c r="K1" s="24">
        <v>41420</v>
      </c>
      <c r="L1" s="31"/>
      <c r="M1" s="16"/>
      <c r="N1" s="24">
        <v>41427</v>
      </c>
      <c r="O1" s="17"/>
      <c r="P1" s="16"/>
      <c r="Q1" s="24">
        <v>41434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'2013年4月'!U3</f>
        <v>59.575499999999984</v>
      </c>
      <c r="D3" s="50">
        <v>1</v>
      </c>
      <c r="E3" s="51"/>
      <c r="F3" s="52">
        <f>-15.7895*D3</f>
        <v>-15.7895</v>
      </c>
      <c r="G3" s="50">
        <v>1</v>
      </c>
      <c r="H3" s="51"/>
      <c r="I3" s="52">
        <f>-17.6471*G3</f>
        <v>-17.6471</v>
      </c>
      <c r="J3" s="50">
        <v>1</v>
      </c>
      <c r="K3" s="51"/>
      <c r="L3" s="52">
        <f>-17.6471*J3</f>
        <v>-17.6471</v>
      </c>
      <c r="M3" s="50">
        <v>1</v>
      </c>
      <c r="N3" s="51"/>
      <c r="O3" s="52">
        <f>-16.6667*M3</f>
        <v>-16.6667</v>
      </c>
      <c r="P3" s="87">
        <v>1</v>
      </c>
      <c r="Q3" s="96"/>
      <c r="R3" s="52">
        <f>-10.7143*P3</f>
        <v>-10.7143</v>
      </c>
      <c r="S3" s="50"/>
      <c r="T3" s="53"/>
      <c r="U3" s="76">
        <f aca="true" t="shared" si="0" ref="U3:U41">C3+E3+F3+H3+I3+K3+L3+N3+O3+T3+Q3+R3</f>
        <v>-18.88920000000001</v>
      </c>
      <c r="W3" s="86"/>
    </row>
    <row r="4" spans="1:23" ht="12.75">
      <c r="A4" s="2">
        <v>2</v>
      </c>
      <c r="B4" s="75" t="s">
        <v>3</v>
      </c>
      <c r="C4" s="49">
        <f>'2013年4月'!U4</f>
        <v>8.260499999999999</v>
      </c>
      <c r="D4" s="50">
        <v>1</v>
      </c>
      <c r="E4" s="51"/>
      <c r="F4" s="52">
        <f aca="true" t="shared" si="1" ref="F4:F41">-15.7895*D4</f>
        <v>-15.7895</v>
      </c>
      <c r="G4" s="50">
        <v>1</v>
      </c>
      <c r="H4" s="51"/>
      <c r="I4" s="52">
        <f aca="true" t="shared" si="2" ref="I4:I41">-17.6471*G4</f>
        <v>-17.6471</v>
      </c>
      <c r="J4" s="50">
        <v>1</v>
      </c>
      <c r="K4" s="51">
        <v>200</v>
      </c>
      <c r="L4" s="52">
        <f aca="true" t="shared" si="3" ref="L4:L41">-17.6471*J4</f>
        <v>-17.6471</v>
      </c>
      <c r="M4" s="50">
        <v>1</v>
      </c>
      <c r="N4" s="51"/>
      <c r="O4" s="52">
        <f aca="true" t="shared" si="4" ref="O4:O41">-16.6667*M4</f>
        <v>-16.6667</v>
      </c>
      <c r="P4" s="87">
        <v>1</v>
      </c>
      <c r="Q4" s="96"/>
      <c r="R4" s="52">
        <f aca="true" t="shared" si="5" ref="R4:R41">-10.7143*P4</f>
        <v>-10.7143</v>
      </c>
      <c r="S4" s="54"/>
      <c r="T4" s="53"/>
      <c r="U4" s="76">
        <f t="shared" si="0"/>
        <v>129.7958</v>
      </c>
      <c r="W4" s="86"/>
    </row>
    <row r="5" spans="1:23" ht="12.75">
      <c r="A5" s="2">
        <v>3</v>
      </c>
      <c r="B5" s="77" t="s">
        <v>58</v>
      </c>
      <c r="C5" s="49">
        <f>'2013年4月'!U5</f>
        <v>17.488699999999987</v>
      </c>
      <c r="D5" s="50">
        <v>1</v>
      </c>
      <c r="E5" s="51"/>
      <c r="F5" s="52">
        <f t="shared" si="1"/>
        <v>-15.7895</v>
      </c>
      <c r="G5" s="50">
        <v>1</v>
      </c>
      <c r="H5" s="51"/>
      <c r="I5" s="52">
        <f t="shared" si="2"/>
        <v>-17.6471</v>
      </c>
      <c r="J5" s="50"/>
      <c r="K5" s="51"/>
      <c r="L5" s="52">
        <f t="shared" si="3"/>
        <v>0</v>
      </c>
      <c r="M5" s="50">
        <v>1</v>
      </c>
      <c r="N5" s="51">
        <v>200</v>
      </c>
      <c r="O5" s="52">
        <f t="shared" si="4"/>
        <v>-16.6667</v>
      </c>
      <c r="P5" s="87">
        <v>1</v>
      </c>
      <c r="Q5" s="96"/>
      <c r="R5" s="52">
        <f t="shared" si="5"/>
        <v>-10.7143</v>
      </c>
      <c r="S5" s="50"/>
      <c r="T5" s="53"/>
      <c r="U5" s="76">
        <f t="shared" si="0"/>
        <v>156.6711</v>
      </c>
      <c r="W5" s="86"/>
    </row>
    <row r="6" spans="1:23" ht="12.75">
      <c r="A6" s="2">
        <v>4</v>
      </c>
      <c r="B6" s="110">
        <v>9631</v>
      </c>
      <c r="C6" s="55">
        <f>'2013年4月'!U6</f>
        <v>70.63569999999997</v>
      </c>
      <c r="D6" s="60">
        <v>1</v>
      </c>
      <c r="E6" s="57"/>
      <c r="F6" s="58">
        <f t="shared" si="1"/>
        <v>-15.7895</v>
      </c>
      <c r="G6" s="60">
        <v>1</v>
      </c>
      <c r="H6" s="57"/>
      <c r="I6" s="58">
        <f t="shared" si="2"/>
        <v>-17.6471</v>
      </c>
      <c r="J6" s="60">
        <v>1</v>
      </c>
      <c r="K6" s="57"/>
      <c r="L6" s="58">
        <f t="shared" si="3"/>
        <v>-17.6471</v>
      </c>
      <c r="M6" s="60">
        <v>1</v>
      </c>
      <c r="N6" s="57"/>
      <c r="O6" s="58">
        <f t="shared" si="4"/>
        <v>-16.6667</v>
      </c>
      <c r="P6" s="88">
        <v>1</v>
      </c>
      <c r="Q6" s="97"/>
      <c r="R6" s="58">
        <f t="shared" si="5"/>
        <v>-10.7143</v>
      </c>
      <c r="S6" s="60"/>
      <c r="T6" s="59"/>
      <c r="U6" s="76">
        <f t="shared" si="0"/>
        <v>-7.829000000000024</v>
      </c>
      <c r="W6" s="86"/>
    </row>
    <row r="7" spans="1:23" ht="12.75">
      <c r="A7" s="2">
        <v>5</v>
      </c>
      <c r="B7" s="78" t="s">
        <v>95</v>
      </c>
      <c r="C7" s="55">
        <f>'2013年4月'!U7</f>
        <v>152.976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/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'2013年4月'!U8</f>
        <v>61.551200000000016</v>
      </c>
      <c r="D8" s="56">
        <v>1</v>
      </c>
      <c r="E8" s="57"/>
      <c r="F8" s="58">
        <f t="shared" si="1"/>
        <v>-15.7895</v>
      </c>
      <c r="G8" s="56">
        <v>1</v>
      </c>
      <c r="H8" s="57"/>
      <c r="I8" s="58">
        <f t="shared" si="2"/>
        <v>-17.6471</v>
      </c>
      <c r="J8" s="56">
        <v>1</v>
      </c>
      <c r="K8" s="57"/>
      <c r="L8" s="58">
        <f t="shared" si="3"/>
        <v>-17.6471</v>
      </c>
      <c r="M8" s="56">
        <v>1</v>
      </c>
      <c r="N8" s="57">
        <v>200</v>
      </c>
      <c r="O8" s="58">
        <f t="shared" si="4"/>
        <v>-16.6667</v>
      </c>
      <c r="P8" s="89">
        <v>1</v>
      </c>
      <c r="Q8" s="98"/>
      <c r="R8" s="58">
        <f t="shared" si="5"/>
        <v>-10.7143</v>
      </c>
      <c r="S8" s="60"/>
      <c r="T8" s="59"/>
      <c r="U8" s="76">
        <f t="shared" si="0"/>
        <v>183.08650000000003</v>
      </c>
      <c r="W8" s="86"/>
    </row>
    <row r="9" spans="1:23" ht="12.75">
      <c r="A9" s="2">
        <v>7</v>
      </c>
      <c r="B9" s="109" t="s">
        <v>61</v>
      </c>
      <c r="C9" s="67">
        <f>'2013年4月'!U9</f>
        <v>63.44119999999999</v>
      </c>
      <c r="D9" s="68">
        <v>1</v>
      </c>
      <c r="E9" s="69"/>
      <c r="F9" s="70">
        <f t="shared" si="1"/>
        <v>-15.7895</v>
      </c>
      <c r="G9" s="68">
        <v>1</v>
      </c>
      <c r="H9" s="69"/>
      <c r="I9" s="70">
        <f t="shared" si="2"/>
        <v>-17.6471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-10.7143</v>
      </c>
      <c r="S9" s="68"/>
      <c r="T9" s="71"/>
      <c r="U9" s="76">
        <f t="shared" si="0"/>
        <v>19.290299999999995</v>
      </c>
      <c r="W9" s="86"/>
    </row>
    <row r="10" spans="1:23" ht="12.75">
      <c r="A10" s="2">
        <v>8</v>
      </c>
      <c r="B10" s="81" t="s">
        <v>96</v>
      </c>
      <c r="C10" s="67">
        <f>'2013年4月'!U10</f>
        <v>114.28370000000004</v>
      </c>
      <c r="D10" s="72">
        <v>2</v>
      </c>
      <c r="E10" s="69"/>
      <c r="F10" s="70">
        <f t="shared" si="1"/>
        <v>-31.579</v>
      </c>
      <c r="G10" s="72">
        <v>3</v>
      </c>
      <c r="H10" s="69"/>
      <c r="I10" s="70">
        <f t="shared" si="2"/>
        <v>-52.9413</v>
      </c>
      <c r="J10" s="72">
        <v>3</v>
      </c>
      <c r="K10" s="69">
        <v>200</v>
      </c>
      <c r="L10" s="70">
        <f t="shared" si="3"/>
        <v>-52.9413</v>
      </c>
      <c r="M10" s="72">
        <v>2</v>
      </c>
      <c r="N10" s="69"/>
      <c r="O10" s="70">
        <f t="shared" si="4"/>
        <v>-33.3334</v>
      </c>
      <c r="P10" s="91">
        <v>3</v>
      </c>
      <c r="Q10" s="100"/>
      <c r="R10" s="70">
        <f t="shared" si="5"/>
        <v>-32.1429</v>
      </c>
      <c r="S10" s="72"/>
      <c r="T10" s="71"/>
      <c r="U10" s="76">
        <f t="shared" si="0"/>
        <v>111.34580000000005</v>
      </c>
      <c r="W10" s="86"/>
    </row>
    <row r="11" spans="1:23" ht="12.75">
      <c r="A11" s="2">
        <v>9</v>
      </c>
      <c r="B11" s="109" t="s">
        <v>63</v>
      </c>
      <c r="C11" s="67">
        <f>'2013年4月'!U11</f>
        <v>0.6496999999999868</v>
      </c>
      <c r="D11" s="68">
        <v>1</v>
      </c>
      <c r="E11" s="69"/>
      <c r="F11" s="70">
        <f t="shared" si="1"/>
        <v>-15.7895</v>
      </c>
      <c r="G11" s="68">
        <v>1</v>
      </c>
      <c r="H11" s="69"/>
      <c r="I11" s="70">
        <f t="shared" si="2"/>
        <v>-17.6471</v>
      </c>
      <c r="J11" s="68">
        <v>1</v>
      </c>
      <c r="K11" s="69">
        <v>200</v>
      </c>
      <c r="L11" s="70">
        <f t="shared" si="3"/>
        <v>-17.6471</v>
      </c>
      <c r="M11" s="68">
        <v>1</v>
      </c>
      <c r="N11" s="69"/>
      <c r="O11" s="70">
        <f t="shared" si="4"/>
        <v>-16.6667</v>
      </c>
      <c r="P11" s="90">
        <v>1</v>
      </c>
      <c r="Q11" s="99"/>
      <c r="R11" s="70">
        <f t="shared" si="5"/>
        <v>-10.7143</v>
      </c>
      <c r="S11" s="68"/>
      <c r="T11" s="71"/>
      <c r="U11" s="76">
        <f t="shared" si="0"/>
        <v>122.18500000000002</v>
      </c>
      <c r="W11" s="86"/>
    </row>
    <row r="12" spans="1:23" ht="12.75">
      <c r="A12" s="2">
        <v>10</v>
      </c>
      <c r="B12" s="79" t="s">
        <v>64</v>
      </c>
      <c r="C12" s="61">
        <f>'2013年4月'!U12</f>
        <v>34.88539999999999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-10.7143</v>
      </c>
      <c r="S12" s="62"/>
      <c r="T12" s="66"/>
      <c r="U12" s="76">
        <f t="shared" si="0"/>
        <v>24.17109999999999</v>
      </c>
      <c r="W12" s="86"/>
    </row>
    <row r="13" spans="1:23" ht="12.75">
      <c r="A13" s="2">
        <v>11</v>
      </c>
      <c r="B13" s="79" t="s">
        <v>65</v>
      </c>
      <c r="C13" s="61">
        <f>'2013年4月'!U13</f>
        <v>78.1</v>
      </c>
      <c r="D13" s="62">
        <v>1</v>
      </c>
      <c r="E13" s="63"/>
      <c r="F13" s="64">
        <f t="shared" si="1"/>
        <v>-15.7895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-17.6471</v>
      </c>
      <c r="M13" s="62">
        <v>1</v>
      </c>
      <c r="N13" s="106"/>
      <c r="O13" s="64">
        <f t="shared" si="4"/>
        <v>-16.6667</v>
      </c>
      <c r="P13" s="92">
        <v>1</v>
      </c>
      <c r="Q13" s="101"/>
      <c r="R13" s="64">
        <f t="shared" si="5"/>
        <v>-10.7143</v>
      </c>
      <c r="S13" s="65"/>
      <c r="T13" s="66"/>
      <c r="U13" s="76">
        <f t="shared" si="0"/>
        <v>17.282399999999996</v>
      </c>
      <c r="W13" s="86"/>
    </row>
    <row r="14" spans="1:23" ht="12.75">
      <c r="A14" s="2">
        <v>12</v>
      </c>
      <c r="B14" s="79" t="s">
        <v>66</v>
      </c>
      <c r="C14" s="61">
        <f>'2013年4月'!U14</f>
        <v>53.784299999999995</v>
      </c>
      <c r="D14" s="62">
        <v>1</v>
      </c>
      <c r="E14" s="63"/>
      <c r="F14" s="64">
        <f t="shared" si="1"/>
        <v>-15.7895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-17.6471</v>
      </c>
      <c r="M14" s="62"/>
      <c r="N14" s="63"/>
      <c r="O14" s="64">
        <f t="shared" si="4"/>
        <v>0</v>
      </c>
      <c r="P14" s="92">
        <v>1</v>
      </c>
      <c r="Q14" s="101"/>
      <c r="R14" s="64">
        <f t="shared" si="5"/>
        <v>-10.7143</v>
      </c>
      <c r="S14" s="62"/>
      <c r="T14" s="66"/>
      <c r="U14" s="76">
        <f t="shared" si="0"/>
        <v>9.6334</v>
      </c>
      <c r="W14" s="86"/>
    </row>
    <row r="15" spans="1:23" ht="12.75">
      <c r="A15" s="2">
        <v>13</v>
      </c>
      <c r="B15" s="80" t="s">
        <v>67</v>
      </c>
      <c r="C15" s="43">
        <f>'2013年4月'!U15</f>
        <v>114.70160000000001</v>
      </c>
      <c r="D15" s="44">
        <v>1</v>
      </c>
      <c r="E15" s="45"/>
      <c r="F15" s="46">
        <f t="shared" si="1"/>
        <v>-15.7895</v>
      </c>
      <c r="G15" s="44">
        <v>1</v>
      </c>
      <c r="H15" s="45"/>
      <c r="I15" s="46">
        <f t="shared" si="2"/>
        <v>-17.6471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-16.6667</v>
      </c>
      <c r="P15" s="93">
        <v>1</v>
      </c>
      <c r="Q15" s="102"/>
      <c r="R15" s="46">
        <f t="shared" si="5"/>
        <v>-10.7143</v>
      </c>
      <c r="S15" s="48"/>
      <c r="T15" s="47"/>
      <c r="U15" s="76">
        <f t="shared" si="0"/>
        <v>53.88400000000002</v>
      </c>
      <c r="W15" s="86"/>
    </row>
    <row r="16" spans="1:23" ht="12.75">
      <c r="A16" s="2">
        <v>14</v>
      </c>
      <c r="B16" s="80" t="s">
        <v>53</v>
      </c>
      <c r="C16" s="43">
        <f>'2013年4月'!U16</f>
        <v>51.1189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>
        <f t="shared" si="2"/>
        <v>-17.6471</v>
      </c>
      <c r="J16" s="44">
        <v>1</v>
      </c>
      <c r="K16" s="45"/>
      <c r="L16" s="46">
        <f t="shared" si="3"/>
        <v>-17.6471</v>
      </c>
      <c r="M16" s="44">
        <v>1</v>
      </c>
      <c r="N16" s="45"/>
      <c r="O16" s="46">
        <f t="shared" si="4"/>
        <v>-16.6667</v>
      </c>
      <c r="P16" s="93">
        <v>1</v>
      </c>
      <c r="Q16" s="102"/>
      <c r="R16" s="46">
        <f t="shared" si="5"/>
        <v>-10.7143</v>
      </c>
      <c r="S16" s="44"/>
      <c r="T16" s="47"/>
      <c r="U16" s="76">
        <f t="shared" si="0"/>
        <v>-27.345800000000004</v>
      </c>
      <c r="W16" s="86"/>
    </row>
    <row r="17" spans="1:23" ht="12.75">
      <c r="A17" s="2">
        <v>15</v>
      </c>
      <c r="B17" s="80" t="s">
        <v>94</v>
      </c>
      <c r="C17" s="43">
        <f>'2013年4月'!U17</f>
        <v>110.023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-17.6471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>
        <v>1</v>
      </c>
      <c r="Q17" s="102"/>
      <c r="R17" s="46">
        <f t="shared" si="5"/>
        <v>-10.7143</v>
      </c>
      <c r="S17" s="48"/>
      <c r="T17" s="47"/>
      <c r="U17" s="76">
        <f t="shared" si="0"/>
        <v>81.6616</v>
      </c>
      <c r="W17" s="86"/>
    </row>
    <row r="18" spans="1:23" ht="12.75">
      <c r="A18" s="2">
        <v>16</v>
      </c>
      <c r="B18" s="77" t="s">
        <v>68</v>
      </c>
      <c r="C18" s="49">
        <f>'2013年4月'!U18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'2013年4月'!U19</f>
        <v>45.997400000000006</v>
      </c>
      <c r="D19" s="50"/>
      <c r="E19" s="51"/>
      <c r="F19" s="52">
        <f t="shared" si="1"/>
        <v>0</v>
      </c>
      <c r="G19" s="50">
        <v>1</v>
      </c>
      <c r="H19" s="51"/>
      <c r="I19" s="52">
        <f t="shared" si="2"/>
        <v>-17.6471</v>
      </c>
      <c r="J19" s="50">
        <v>1</v>
      </c>
      <c r="K19" s="51"/>
      <c r="L19" s="52">
        <f t="shared" si="3"/>
        <v>-17.6471</v>
      </c>
      <c r="M19" s="50"/>
      <c r="N19" s="51"/>
      <c r="O19" s="52">
        <f t="shared" si="4"/>
        <v>0</v>
      </c>
      <c r="P19" s="87">
        <v>1</v>
      </c>
      <c r="Q19" s="96"/>
      <c r="R19" s="52">
        <f t="shared" si="5"/>
        <v>-10.7143</v>
      </c>
      <c r="S19" s="54"/>
      <c r="T19" s="53"/>
      <c r="U19" s="76">
        <f t="shared" si="0"/>
        <v>-0.011099999999990118</v>
      </c>
      <c r="W19" s="86"/>
    </row>
    <row r="20" spans="1:23" ht="12.75">
      <c r="A20" s="2">
        <v>18</v>
      </c>
      <c r="B20" s="77" t="s">
        <v>97</v>
      </c>
      <c r="C20" s="49">
        <f>'2013年4月'!U20</f>
        <v>100.0955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-10.7143</v>
      </c>
      <c r="S20" s="50"/>
      <c r="T20" s="53"/>
      <c r="U20" s="76">
        <f t="shared" si="0"/>
        <v>89.3812</v>
      </c>
      <c r="W20" s="86"/>
    </row>
    <row r="21" spans="1:23" ht="12.75">
      <c r="A21" s="2">
        <v>19</v>
      </c>
      <c r="B21" s="78"/>
      <c r="C21" s="55">
        <f>'2013年4月'!U21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'2013年4月'!U22</f>
        <v>66.18869999999998</v>
      </c>
      <c r="D22" s="56">
        <v>1</v>
      </c>
      <c r="E22" s="57"/>
      <c r="F22" s="58">
        <f t="shared" si="1"/>
        <v>-15.7895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-10.7143</v>
      </c>
      <c r="S22" s="56"/>
      <c r="T22" s="59"/>
      <c r="U22" s="76">
        <f t="shared" si="0"/>
        <v>39.68489999999998</v>
      </c>
      <c r="W22" s="86"/>
    </row>
    <row r="23" spans="1:23" ht="12.75">
      <c r="A23" s="2">
        <v>21</v>
      </c>
      <c r="B23" s="78" t="s">
        <v>73</v>
      </c>
      <c r="C23" s="55">
        <f>'2013年4月'!U23</f>
        <v>128.19859999999994</v>
      </c>
      <c r="D23" s="56">
        <v>1</v>
      </c>
      <c r="E23" s="57"/>
      <c r="F23" s="58">
        <f t="shared" si="1"/>
        <v>-15.7895</v>
      </c>
      <c r="G23" s="56"/>
      <c r="H23" s="57"/>
      <c r="I23" s="58">
        <f t="shared" si="2"/>
        <v>0</v>
      </c>
      <c r="J23" s="56">
        <v>1</v>
      </c>
      <c r="K23" s="57"/>
      <c r="L23" s="58">
        <f t="shared" si="3"/>
        <v>-17.6471</v>
      </c>
      <c r="M23" s="56">
        <v>1</v>
      </c>
      <c r="N23" s="57"/>
      <c r="O23" s="58">
        <f t="shared" si="4"/>
        <v>-16.6667</v>
      </c>
      <c r="P23" s="89">
        <v>1</v>
      </c>
      <c r="Q23" s="98"/>
      <c r="R23" s="58">
        <f t="shared" si="5"/>
        <v>-10.7143</v>
      </c>
      <c r="S23" s="60"/>
      <c r="T23" s="59"/>
      <c r="U23" s="76">
        <f t="shared" si="0"/>
        <v>67.38099999999996</v>
      </c>
      <c r="W23" s="86"/>
    </row>
    <row r="24" spans="1:23" ht="12.75">
      <c r="A24" s="2">
        <v>22</v>
      </c>
      <c r="B24" s="81" t="s">
        <v>74</v>
      </c>
      <c r="C24" s="67">
        <f>'2013年4月'!U24</f>
        <v>127.9358</v>
      </c>
      <c r="D24" s="68">
        <v>1</v>
      </c>
      <c r="E24" s="69"/>
      <c r="F24" s="70">
        <f t="shared" si="1"/>
        <v>-15.7895</v>
      </c>
      <c r="G24" s="68">
        <v>1</v>
      </c>
      <c r="H24" s="69"/>
      <c r="I24" s="70">
        <f t="shared" si="2"/>
        <v>-17.6471</v>
      </c>
      <c r="J24" s="68"/>
      <c r="K24" s="69"/>
      <c r="L24" s="70">
        <f t="shared" si="3"/>
        <v>0</v>
      </c>
      <c r="M24" s="68">
        <v>1</v>
      </c>
      <c r="N24" s="69"/>
      <c r="O24" s="70">
        <f t="shared" si="4"/>
        <v>-16.6667</v>
      </c>
      <c r="P24" s="90">
        <v>1</v>
      </c>
      <c r="Q24" s="99"/>
      <c r="R24" s="70">
        <f t="shared" si="5"/>
        <v>-10.7143</v>
      </c>
      <c r="S24" s="68"/>
      <c r="T24" s="71"/>
      <c r="U24" s="76">
        <f t="shared" si="0"/>
        <v>67.11820000000002</v>
      </c>
      <c r="W24" s="86"/>
    </row>
    <row r="25" spans="1:23" ht="12.75">
      <c r="A25" s="2">
        <v>23</v>
      </c>
      <c r="B25" s="81" t="s">
        <v>75</v>
      </c>
      <c r="C25" s="67">
        <f>'2013年4月'!U25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'2013年4月'!U26</f>
        <v>128.3033</v>
      </c>
      <c r="D26" s="68">
        <v>1</v>
      </c>
      <c r="E26" s="69"/>
      <c r="F26" s="70">
        <f t="shared" si="1"/>
        <v>-15.7895</v>
      </c>
      <c r="G26" s="68"/>
      <c r="H26" s="69"/>
      <c r="I26" s="70">
        <f t="shared" si="2"/>
        <v>0</v>
      </c>
      <c r="J26" s="68">
        <v>1</v>
      </c>
      <c r="K26" s="69"/>
      <c r="L26" s="70">
        <f t="shared" si="3"/>
        <v>-17.6471</v>
      </c>
      <c r="M26" s="68">
        <v>1</v>
      </c>
      <c r="N26" s="69"/>
      <c r="O26" s="70">
        <f t="shared" si="4"/>
        <v>-16.6667</v>
      </c>
      <c r="P26" s="90">
        <v>1</v>
      </c>
      <c r="Q26" s="99"/>
      <c r="R26" s="70">
        <f t="shared" si="5"/>
        <v>-10.7143</v>
      </c>
      <c r="S26" s="72"/>
      <c r="T26" s="71"/>
      <c r="U26" s="76">
        <f t="shared" si="0"/>
        <v>67.48570000000002</v>
      </c>
      <c r="W26" s="86"/>
    </row>
    <row r="27" spans="1:23" ht="12.75">
      <c r="A27" s="2">
        <v>25</v>
      </c>
      <c r="B27" s="79" t="s">
        <v>98</v>
      </c>
      <c r="C27" s="61">
        <f>'2013年4月'!U27</f>
        <v>-0.695200000000014</v>
      </c>
      <c r="D27" s="62">
        <v>1</v>
      </c>
      <c r="E27" s="73">
        <v>100</v>
      </c>
      <c r="F27" s="64">
        <f t="shared" si="1"/>
        <v>-15.7895</v>
      </c>
      <c r="G27" s="62"/>
      <c r="H27" s="73"/>
      <c r="I27" s="64">
        <f t="shared" si="2"/>
        <v>0</v>
      </c>
      <c r="J27" s="62">
        <v>1</v>
      </c>
      <c r="K27" s="73"/>
      <c r="L27" s="64">
        <f t="shared" si="3"/>
        <v>-17.6471</v>
      </c>
      <c r="M27" s="62"/>
      <c r="N27" s="73"/>
      <c r="O27" s="64">
        <f t="shared" si="4"/>
        <v>0</v>
      </c>
      <c r="P27" s="92">
        <v>1</v>
      </c>
      <c r="Q27" s="101"/>
      <c r="R27" s="64">
        <f t="shared" si="5"/>
        <v>-10.7143</v>
      </c>
      <c r="S27" s="62"/>
      <c r="T27" s="66"/>
      <c r="U27" s="76">
        <f t="shared" si="0"/>
        <v>55.153899999999986</v>
      </c>
      <c r="W27" s="86"/>
    </row>
    <row r="28" spans="1:23" ht="12.75">
      <c r="A28" s="2">
        <v>26</v>
      </c>
      <c r="B28" s="79" t="s">
        <v>99</v>
      </c>
      <c r="C28" s="61">
        <f>'2013年4月'!U28</f>
        <v>348.7977</v>
      </c>
      <c r="D28" s="65">
        <v>1</v>
      </c>
      <c r="E28" s="73"/>
      <c r="F28" s="64">
        <f t="shared" si="1"/>
        <v>-15.7895</v>
      </c>
      <c r="G28" s="65">
        <v>1</v>
      </c>
      <c r="H28" s="73"/>
      <c r="I28" s="64">
        <f t="shared" si="2"/>
        <v>-17.6471</v>
      </c>
      <c r="J28" s="65">
        <v>1</v>
      </c>
      <c r="K28" s="73"/>
      <c r="L28" s="64">
        <f t="shared" si="3"/>
        <v>-17.6471</v>
      </c>
      <c r="M28" s="65">
        <v>1</v>
      </c>
      <c r="N28" s="73"/>
      <c r="O28" s="64">
        <f t="shared" si="4"/>
        <v>-16.6667</v>
      </c>
      <c r="P28" s="94">
        <v>1</v>
      </c>
      <c r="Q28" s="103"/>
      <c r="R28" s="64">
        <f t="shared" si="5"/>
        <v>-10.7143</v>
      </c>
      <c r="S28" s="65"/>
      <c r="T28" s="66"/>
      <c r="U28" s="76">
        <f t="shared" si="0"/>
        <v>270.333</v>
      </c>
      <c r="W28" s="86"/>
    </row>
    <row r="29" spans="1:23" ht="12.75">
      <c r="A29" s="2">
        <v>27</v>
      </c>
      <c r="B29" s="79" t="s">
        <v>100</v>
      </c>
      <c r="C29" s="61">
        <f>'2013年4月'!U29</f>
        <v>126.27429999999998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-17.6471</v>
      </c>
      <c r="J29" s="62">
        <v>1</v>
      </c>
      <c r="K29" s="63"/>
      <c r="L29" s="64">
        <f t="shared" si="3"/>
        <v>-17.6471</v>
      </c>
      <c r="M29" s="62">
        <v>1</v>
      </c>
      <c r="N29" s="63"/>
      <c r="O29" s="64">
        <f t="shared" si="4"/>
        <v>-16.6667</v>
      </c>
      <c r="P29" s="92">
        <v>1</v>
      </c>
      <c r="Q29" s="101"/>
      <c r="R29" s="64">
        <f t="shared" si="5"/>
        <v>-10.7143</v>
      </c>
      <c r="S29" s="62"/>
      <c r="T29" s="66"/>
      <c r="U29" s="76">
        <f t="shared" si="0"/>
        <v>63.5991</v>
      </c>
      <c r="W29" s="86"/>
    </row>
    <row r="30" spans="1:23" ht="12.75">
      <c r="A30" s="2">
        <v>28</v>
      </c>
      <c r="B30" s="80" t="s">
        <v>80</v>
      </c>
      <c r="C30" s="43">
        <f>'2013年4月'!U30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'2013年4月'!U31</f>
        <v>63.23730000000001</v>
      </c>
      <c r="D31" s="44"/>
      <c r="E31" s="74"/>
      <c r="F31" s="46">
        <f t="shared" si="1"/>
        <v>0</v>
      </c>
      <c r="G31" s="44"/>
      <c r="H31" s="74"/>
      <c r="I31" s="46">
        <f t="shared" si="2"/>
        <v>0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-16.6667</v>
      </c>
      <c r="P31" s="93">
        <v>1</v>
      </c>
      <c r="Q31" s="102"/>
      <c r="R31" s="46">
        <f t="shared" si="5"/>
        <v>-10.7143</v>
      </c>
      <c r="S31" s="44"/>
      <c r="T31" s="47"/>
      <c r="U31" s="76">
        <f t="shared" si="0"/>
        <v>35.85630000000001</v>
      </c>
      <c r="W31" s="86"/>
    </row>
    <row r="32" spans="1:23" ht="12.75">
      <c r="A32" s="2">
        <v>30</v>
      </c>
      <c r="B32" s="80" t="s">
        <v>54</v>
      </c>
      <c r="C32" s="43">
        <f>'2013年4月'!U32</f>
        <v>157.9546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>
        <v>1</v>
      </c>
      <c r="Q32" s="104"/>
      <c r="R32" s="46">
        <f t="shared" si="5"/>
        <v>-10.7143</v>
      </c>
      <c r="S32" s="48"/>
      <c r="T32" s="47"/>
      <c r="U32" s="76">
        <f t="shared" si="0"/>
        <v>147.2403</v>
      </c>
      <c r="W32" s="86"/>
    </row>
    <row r="33" spans="1:23" ht="12.75">
      <c r="A33" s="2">
        <v>31</v>
      </c>
      <c r="B33" s="77" t="s">
        <v>104</v>
      </c>
      <c r="C33" s="49">
        <f>'2013年4月'!U33</f>
        <v>68.1548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-16.6667</v>
      </c>
      <c r="P33" s="87">
        <v>1</v>
      </c>
      <c r="Q33" s="96"/>
      <c r="R33" s="52">
        <f t="shared" si="5"/>
        <v>-10.7143</v>
      </c>
      <c r="S33" s="50"/>
      <c r="T33" s="53"/>
      <c r="U33" s="76">
        <f t="shared" si="0"/>
        <v>40.773799999999994</v>
      </c>
      <c r="W33" s="86"/>
    </row>
    <row r="34" spans="1:23" ht="12.75">
      <c r="A34" s="2">
        <v>32</v>
      </c>
      <c r="B34" s="77"/>
      <c r="C34" s="49">
        <f>'2013年4月'!U34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'2013年4月'!U35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'2013年4月'!U36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'2013年4月'!U37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'2013年4月'!U38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'2013年4月'!U39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'2013年4月'!U40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'2013年4月'!U41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19</v>
      </c>
      <c r="F43" s="1">
        <f>E54/D43</f>
        <v>15.789473684210526</v>
      </c>
      <c r="G43" s="1">
        <f>SUM(G3:G41)</f>
        <v>17</v>
      </c>
      <c r="I43" s="1">
        <f>H54/G43</f>
        <v>17.647058823529413</v>
      </c>
      <c r="J43" s="1">
        <f>SUM(J3:J41)</f>
        <v>17</v>
      </c>
      <c r="L43" s="1">
        <f>K54/J43</f>
        <v>17.647058823529413</v>
      </c>
      <c r="M43" s="1">
        <f>SUM(M3:M41)</f>
        <v>18</v>
      </c>
      <c r="O43" s="1">
        <f>N54/M43</f>
        <v>16.666666666666668</v>
      </c>
      <c r="P43" s="1">
        <f>SUM(P3:P41)</f>
        <v>28</v>
      </c>
      <c r="R43" s="1">
        <f>Q54/P43</f>
        <v>10.714285714285714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-300.0005</v>
      </c>
      <c r="H45" s="28" t="s">
        <v>84</v>
      </c>
      <c r="I45" s="1">
        <f>SUM(I3:I41)</f>
        <v>-300.0007</v>
      </c>
      <c r="K45" s="28" t="s">
        <v>84</v>
      </c>
      <c r="L45" s="1">
        <f>SUM(L3:L41)</f>
        <v>-300.0007</v>
      </c>
      <c r="N45" s="28" t="s">
        <v>84</v>
      </c>
      <c r="O45" s="1">
        <f>SUM(O3:O41)</f>
        <v>-300.0005999999999</v>
      </c>
      <c r="Q45" s="28" t="s">
        <v>84</v>
      </c>
      <c r="R45" s="1">
        <f>SUM(R3:R41)</f>
        <v>-300.0004</v>
      </c>
      <c r="U45" s="19"/>
    </row>
    <row r="46" spans="2:21" ht="12.75">
      <c r="B46" s="29" t="s">
        <v>85</v>
      </c>
      <c r="C46" s="27">
        <f>SUM(C3:C41)</f>
        <v>2400.0008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1999.9978999999998</v>
      </c>
      <c r="W47" s="86">
        <f>U47</f>
        <v>1999.9978999999998</v>
      </c>
    </row>
    <row r="48" spans="2:20" ht="12.75" customHeight="1">
      <c r="B48" s="86"/>
      <c r="D48" s="117" t="s">
        <v>108</v>
      </c>
      <c r="E48" s="118"/>
      <c r="F48" s="119"/>
      <c r="G48" s="117" t="s">
        <v>109</v>
      </c>
      <c r="H48" s="118"/>
      <c r="I48" s="119"/>
      <c r="J48" s="117" t="s">
        <v>110</v>
      </c>
      <c r="K48" s="118"/>
      <c r="L48" s="119"/>
      <c r="M48" s="117" t="s">
        <v>111</v>
      </c>
      <c r="N48" s="118"/>
      <c r="O48" s="119"/>
      <c r="P48" s="117" t="s">
        <v>112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 t="s">
        <v>113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 t="s">
        <v>103</v>
      </c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 t="s">
        <v>114</v>
      </c>
      <c r="P88" s="28"/>
    </row>
    <row r="89" spans="7:16" ht="12.75">
      <c r="G89" s="28" t="s">
        <v>115</v>
      </c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P90:R91"/>
    <mergeCell ref="M83:O85"/>
    <mergeCell ref="P83:R85"/>
    <mergeCell ref="M90:O91"/>
    <mergeCell ref="M68:N68"/>
    <mergeCell ref="G75:H75"/>
    <mergeCell ref="G83:I85"/>
    <mergeCell ref="J83:L8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J60:L60"/>
    <mergeCell ref="D1:F1"/>
    <mergeCell ref="D48:F52"/>
    <mergeCell ref="D62:F64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17" sqref="Q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41441</v>
      </c>
      <c r="E1" s="126"/>
      <c r="F1" s="127"/>
      <c r="G1" s="16"/>
      <c r="H1" s="24">
        <v>41448</v>
      </c>
      <c r="I1" s="17"/>
      <c r="J1" s="30"/>
      <c r="K1" s="24">
        <v>41455</v>
      </c>
      <c r="L1" s="31"/>
      <c r="M1" s="16"/>
      <c r="N1" s="24">
        <v>41462</v>
      </c>
      <c r="O1" s="17"/>
      <c r="P1" s="16"/>
      <c r="Q1" s="24">
        <v>41469</v>
      </c>
      <c r="R1" s="17"/>
      <c r="S1" s="128" t="s">
        <v>124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'2013年5月'!U3</f>
        <v>-18.88920000000001</v>
      </c>
      <c r="D3" s="50">
        <v>1</v>
      </c>
      <c r="E3" s="51">
        <v>80</v>
      </c>
      <c r="F3" s="52">
        <f>-17.5*D3</f>
        <v>-17.5</v>
      </c>
      <c r="G3" s="50">
        <v>1</v>
      </c>
      <c r="H3" s="51"/>
      <c r="I3" s="52">
        <f>-17.0588*G3</f>
        <v>-17.0588</v>
      </c>
      <c r="J3" s="50">
        <v>1</v>
      </c>
      <c r="K3" s="51"/>
      <c r="L3" s="52">
        <f>-17.6471*J3</f>
        <v>-17.6471</v>
      </c>
      <c r="M3" s="50">
        <v>1</v>
      </c>
      <c r="N3" s="51">
        <v>110</v>
      </c>
      <c r="O3" s="52">
        <f>-18.75*M3</f>
        <v>-18.75</v>
      </c>
      <c r="P3" s="87">
        <v>1</v>
      </c>
      <c r="Q3" s="96">
        <v>47.2403</v>
      </c>
      <c r="R3" s="52">
        <f>-18.75*P3</f>
        <v>-18.75</v>
      </c>
      <c r="S3" s="50">
        <v>1</v>
      </c>
      <c r="T3" s="53">
        <f>-1.1846*S3</f>
        <v>-1.1846</v>
      </c>
      <c r="U3" s="76">
        <f aca="true" t="shared" si="0" ref="U3:U41">C3+E3+F3+H3+I3+K3+L3+N3+O3+T3+Q3+R3</f>
        <v>127.4606</v>
      </c>
      <c r="W3" s="86"/>
    </row>
    <row r="4" spans="1:23" ht="12.75">
      <c r="A4" s="2">
        <v>2</v>
      </c>
      <c r="B4" s="75" t="s">
        <v>3</v>
      </c>
      <c r="C4" s="49">
        <f>'2013年5月'!U4</f>
        <v>129.7958</v>
      </c>
      <c r="D4" s="50">
        <v>1</v>
      </c>
      <c r="E4" s="51"/>
      <c r="F4" s="52">
        <f aca="true" t="shared" si="1" ref="F4:F41">-17.5*D4</f>
        <v>-17.5</v>
      </c>
      <c r="G4" s="50">
        <v>1</v>
      </c>
      <c r="H4" s="51"/>
      <c r="I4" s="52">
        <f aca="true" t="shared" si="2" ref="I4:I41">-17.0588*G4</f>
        <v>-17.0588</v>
      </c>
      <c r="J4" s="50">
        <v>1</v>
      </c>
      <c r="K4" s="51"/>
      <c r="L4" s="52">
        <f aca="true" t="shared" si="3" ref="L4:L41">-17.6471*J4</f>
        <v>-17.6471</v>
      </c>
      <c r="M4" s="50">
        <v>1</v>
      </c>
      <c r="N4" s="51"/>
      <c r="O4" s="52">
        <f aca="true" t="shared" si="4" ref="O4:O41">-18.75*M4</f>
        <v>-18.75</v>
      </c>
      <c r="P4" s="87">
        <v>1</v>
      </c>
      <c r="Q4" s="96"/>
      <c r="R4" s="52">
        <f aca="true" t="shared" si="5" ref="R4:R41">-18.75*P4</f>
        <v>-18.75</v>
      </c>
      <c r="S4" s="54">
        <v>1</v>
      </c>
      <c r="T4" s="53">
        <f aca="true" t="shared" si="6" ref="T4:T41">-1.1846*S4</f>
        <v>-1.1846</v>
      </c>
      <c r="U4" s="76">
        <f t="shared" si="0"/>
        <v>38.90530000000001</v>
      </c>
      <c r="W4" s="86"/>
    </row>
    <row r="5" spans="1:23" ht="12.75">
      <c r="A5" s="2">
        <v>3</v>
      </c>
      <c r="B5" s="77" t="s">
        <v>58</v>
      </c>
      <c r="C5" s="49">
        <f>'2013年5月'!U5</f>
        <v>156.6711</v>
      </c>
      <c r="D5" s="50">
        <v>1</v>
      </c>
      <c r="E5" s="51"/>
      <c r="F5" s="52">
        <f t="shared" si="1"/>
        <v>-17.5</v>
      </c>
      <c r="G5" s="50">
        <v>1</v>
      </c>
      <c r="H5" s="51"/>
      <c r="I5" s="52">
        <f t="shared" si="2"/>
        <v>-17.0588</v>
      </c>
      <c r="J5" s="50">
        <v>1</v>
      </c>
      <c r="K5" s="51"/>
      <c r="L5" s="52">
        <f t="shared" si="3"/>
        <v>-17.6471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-18.75</v>
      </c>
      <c r="S5" s="50">
        <v>1</v>
      </c>
      <c r="T5" s="53">
        <f t="shared" si="6"/>
        <v>-1.1846</v>
      </c>
      <c r="U5" s="76">
        <f t="shared" si="0"/>
        <v>65.78059999999999</v>
      </c>
      <c r="W5" s="86"/>
    </row>
    <row r="6" spans="1:23" ht="12.75">
      <c r="A6" s="2">
        <v>4</v>
      </c>
      <c r="B6" s="110">
        <v>9631</v>
      </c>
      <c r="C6" s="55">
        <f>'2013年5月'!U6</f>
        <v>-7.829000000000024</v>
      </c>
      <c r="D6" s="60">
        <v>1</v>
      </c>
      <c r="E6" s="57">
        <v>100</v>
      </c>
      <c r="F6" s="58">
        <f t="shared" si="1"/>
        <v>-17.5</v>
      </c>
      <c r="G6" s="60">
        <v>1</v>
      </c>
      <c r="H6" s="57"/>
      <c r="I6" s="58">
        <f t="shared" si="2"/>
        <v>-17.0588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88"/>
      <c r="Q6" s="97"/>
      <c r="R6" s="58">
        <f t="shared" si="5"/>
        <v>0</v>
      </c>
      <c r="S6" s="60">
        <v>1</v>
      </c>
      <c r="T6" s="59">
        <f t="shared" si="6"/>
        <v>-1.1846</v>
      </c>
      <c r="U6" s="76">
        <f t="shared" si="0"/>
        <v>56.42759999999997</v>
      </c>
      <c r="W6" s="86"/>
    </row>
    <row r="7" spans="1:23" ht="12.75">
      <c r="A7" s="2">
        <v>5</v>
      </c>
      <c r="B7" s="78" t="s">
        <v>95</v>
      </c>
      <c r="C7" s="55">
        <f>'2013年5月'!U7</f>
        <v>152.976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>
        <f t="shared" si="6"/>
        <v>0</v>
      </c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'2013年5月'!U8</f>
        <v>183.08650000000003</v>
      </c>
      <c r="D8" s="56">
        <v>1</v>
      </c>
      <c r="E8" s="57"/>
      <c r="F8" s="58">
        <f t="shared" si="1"/>
        <v>-17.5</v>
      </c>
      <c r="G8" s="56">
        <v>1</v>
      </c>
      <c r="H8" s="57"/>
      <c r="I8" s="58">
        <f t="shared" si="2"/>
        <v>-17.0588</v>
      </c>
      <c r="J8" s="56">
        <v>1</v>
      </c>
      <c r="K8" s="57"/>
      <c r="L8" s="58">
        <f t="shared" si="3"/>
        <v>-17.6471</v>
      </c>
      <c r="M8" s="56">
        <v>1</v>
      </c>
      <c r="N8" s="57"/>
      <c r="O8" s="58">
        <f t="shared" si="4"/>
        <v>-18.75</v>
      </c>
      <c r="P8" s="89">
        <v>1</v>
      </c>
      <c r="Q8" s="98"/>
      <c r="R8" s="58">
        <f t="shared" si="5"/>
        <v>-18.75</v>
      </c>
      <c r="S8" s="60">
        <v>1</v>
      </c>
      <c r="T8" s="59">
        <f t="shared" si="6"/>
        <v>-1.1846</v>
      </c>
      <c r="U8" s="76">
        <f t="shared" si="0"/>
        <v>92.19600000000004</v>
      </c>
      <c r="W8" s="86"/>
    </row>
    <row r="9" spans="1:23" ht="12.75">
      <c r="A9" s="2">
        <v>7</v>
      </c>
      <c r="B9" s="109" t="s">
        <v>61</v>
      </c>
      <c r="C9" s="67">
        <f>'2013年5月'!U9</f>
        <v>19.290299999999995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>
        <v>100</v>
      </c>
      <c r="R9" s="70">
        <f t="shared" si="5"/>
        <v>-18.75</v>
      </c>
      <c r="S9" s="68">
        <v>1</v>
      </c>
      <c r="T9" s="71">
        <f t="shared" si="6"/>
        <v>-1.1846</v>
      </c>
      <c r="U9" s="76">
        <f t="shared" si="0"/>
        <v>99.3557</v>
      </c>
      <c r="W9" s="86"/>
    </row>
    <row r="10" spans="1:23" ht="12.75">
      <c r="A10" s="2">
        <v>8</v>
      </c>
      <c r="B10" s="81" t="s">
        <v>96</v>
      </c>
      <c r="C10" s="67">
        <f>'2013年5月'!U10</f>
        <v>111.34580000000005</v>
      </c>
      <c r="D10" s="72">
        <v>1</v>
      </c>
      <c r="E10" s="69"/>
      <c r="F10" s="70">
        <f t="shared" si="1"/>
        <v>-17.5</v>
      </c>
      <c r="G10" s="72">
        <v>3</v>
      </c>
      <c r="H10" s="69"/>
      <c r="I10" s="70">
        <f t="shared" si="2"/>
        <v>-51.1764</v>
      </c>
      <c r="J10" s="72">
        <v>3</v>
      </c>
      <c r="K10" s="69"/>
      <c r="L10" s="70">
        <f t="shared" si="3"/>
        <v>-52.9413</v>
      </c>
      <c r="M10" s="72">
        <v>2</v>
      </c>
      <c r="N10" s="69"/>
      <c r="O10" s="70">
        <f t="shared" si="4"/>
        <v>-37.5</v>
      </c>
      <c r="P10" s="91">
        <v>2</v>
      </c>
      <c r="Q10" s="100">
        <v>500</v>
      </c>
      <c r="R10" s="70">
        <f t="shared" si="5"/>
        <v>-37.5</v>
      </c>
      <c r="S10" s="72">
        <v>1</v>
      </c>
      <c r="T10" s="71">
        <f t="shared" si="6"/>
        <v>-1.1846</v>
      </c>
      <c r="U10" s="76">
        <f t="shared" si="0"/>
        <v>413.54350000000005</v>
      </c>
      <c r="W10" s="86"/>
    </row>
    <row r="11" spans="1:23" ht="12.75">
      <c r="A11" s="2">
        <v>9</v>
      </c>
      <c r="B11" s="109" t="s">
        <v>63</v>
      </c>
      <c r="C11" s="67">
        <f>'2013年5月'!U11</f>
        <v>122.18500000000002</v>
      </c>
      <c r="D11" s="68">
        <v>1</v>
      </c>
      <c r="E11" s="69"/>
      <c r="F11" s="70">
        <f t="shared" si="1"/>
        <v>-17.5</v>
      </c>
      <c r="G11" s="68">
        <v>1</v>
      </c>
      <c r="H11" s="69"/>
      <c r="I11" s="70">
        <f t="shared" si="2"/>
        <v>-17.0588</v>
      </c>
      <c r="J11" s="68">
        <v>1</v>
      </c>
      <c r="K11" s="69"/>
      <c r="L11" s="70">
        <f t="shared" si="3"/>
        <v>-17.6471</v>
      </c>
      <c r="M11" s="68">
        <v>1</v>
      </c>
      <c r="N11" s="69"/>
      <c r="O11" s="70">
        <f t="shared" si="4"/>
        <v>-18.75</v>
      </c>
      <c r="P11" s="90"/>
      <c r="Q11" s="99"/>
      <c r="R11" s="70">
        <f t="shared" si="5"/>
        <v>0</v>
      </c>
      <c r="S11" s="68">
        <v>1</v>
      </c>
      <c r="T11" s="71">
        <f t="shared" si="6"/>
        <v>-1.1846</v>
      </c>
      <c r="U11" s="76">
        <f t="shared" si="0"/>
        <v>50.04450000000001</v>
      </c>
      <c r="W11" s="86"/>
    </row>
    <row r="12" spans="1:23" ht="12.75">
      <c r="A12" s="2">
        <v>10</v>
      </c>
      <c r="B12" s="79" t="s">
        <v>64</v>
      </c>
      <c r="C12" s="61">
        <f>'2013年5月'!U12</f>
        <v>24.17109999999999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>
        <v>1</v>
      </c>
      <c r="T12" s="66">
        <f t="shared" si="6"/>
        <v>-1.1846</v>
      </c>
      <c r="U12" s="76">
        <f t="shared" si="0"/>
        <v>22.98649999999999</v>
      </c>
      <c r="W12" s="86"/>
    </row>
    <row r="13" spans="1:23" ht="12.75">
      <c r="A13" s="2">
        <v>11</v>
      </c>
      <c r="B13" s="79" t="s">
        <v>65</v>
      </c>
      <c r="C13" s="61">
        <f>'2013年5月'!U13</f>
        <v>17.282399999999996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-17.6471</v>
      </c>
      <c r="M13" s="62"/>
      <c r="N13" s="106"/>
      <c r="O13" s="64">
        <f t="shared" si="4"/>
        <v>0</v>
      </c>
      <c r="P13" s="92"/>
      <c r="Q13" s="101"/>
      <c r="R13" s="64">
        <f t="shared" si="5"/>
        <v>0</v>
      </c>
      <c r="S13" s="65">
        <v>1</v>
      </c>
      <c r="T13" s="66">
        <f t="shared" si="6"/>
        <v>-1.1846</v>
      </c>
      <c r="U13" s="76">
        <f t="shared" si="0"/>
        <v>-1.5493000000000028</v>
      </c>
      <c r="W13" s="86"/>
    </row>
    <row r="14" spans="1:23" ht="12.75">
      <c r="A14" s="2">
        <v>12</v>
      </c>
      <c r="B14" s="79" t="s">
        <v>66</v>
      </c>
      <c r="C14" s="61">
        <f>'2013年5月'!U14</f>
        <v>9.6334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>
        <v>1</v>
      </c>
      <c r="N14" s="63">
        <v>100</v>
      </c>
      <c r="O14" s="64">
        <f t="shared" si="4"/>
        <v>-18.75</v>
      </c>
      <c r="P14" s="92"/>
      <c r="Q14" s="101"/>
      <c r="R14" s="64">
        <f t="shared" si="5"/>
        <v>0</v>
      </c>
      <c r="S14" s="62">
        <v>1</v>
      </c>
      <c r="T14" s="66">
        <f t="shared" si="6"/>
        <v>-1.1846</v>
      </c>
      <c r="U14" s="76">
        <f t="shared" si="0"/>
        <v>89.69879999999999</v>
      </c>
      <c r="W14" s="86"/>
    </row>
    <row r="15" spans="1:23" ht="12.75">
      <c r="A15" s="2">
        <v>13</v>
      </c>
      <c r="B15" s="80" t="s">
        <v>67</v>
      </c>
      <c r="C15" s="43">
        <f>'2013年5月'!U15</f>
        <v>53.88400000000002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-18.75</v>
      </c>
      <c r="P15" s="93"/>
      <c r="Q15" s="102"/>
      <c r="R15" s="46">
        <f t="shared" si="5"/>
        <v>0</v>
      </c>
      <c r="S15" s="48">
        <v>1</v>
      </c>
      <c r="T15" s="47">
        <f t="shared" si="6"/>
        <v>-1.1846</v>
      </c>
      <c r="U15" s="76">
        <f t="shared" si="0"/>
        <v>33.94940000000002</v>
      </c>
      <c r="W15" s="86"/>
    </row>
    <row r="16" spans="1:23" ht="12.75">
      <c r="A16" s="2">
        <v>14</v>
      </c>
      <c r="B16" s="80" t="s">
        <v>53</v>
      </c>
      <c r="C16" s="43">
        <f>'2013年5月'!U16</f>
        <v>-27.345800000000004</v>
      </c>
      <c r="D16" s="44">
        <v>1</v>
      </c>
      <c r="E16" s="45">
        <v>100</v>
      </c>
      <c r="F16" s="46">
        <f t="shared" si="1"/>
        <v>-17.5</v>
      </c>
      <c r="G16" s="44">
        <v>1</v>
      </c>
      <c r="H16" s="45"/>
      <c r="I16" s="46">
        <f t="shared" si="2"/>
        <v>-17.0588</v>
      </c>
      <c r="J16" s="44">
        <v>1</v>
      </c>
      <c r="K16" s="45"/>
      <c r="L16" s="46">
        <f t="shared" si="3"/>
        <v>-17.6471</v>
      </c>
      <c r="M16" s="44">
        <v>1</v>
      </c>
      <c r="N16" s="45"/>
      <c r="O16" s="46">
        <f t="shared" si="4"/>
        <v>-18.75</v>
      </c>
      <c r="P16" s="93">
        <v>1</v>
      </c>
      <c r="Q16" s="102"/>
      <c r="R16" s="46">
        <f t="shared" si="5"/>
        <v>-18.75</v>
      </c>
      <c r="S16" s="44">
        <v>1</v>
      </c>
      <c r="T16" s="47">
        <f t="shared" si="6"/>
        <v>-1.1846</v>
      </c>
      <c r="U16" s="76">
        <f t="shared" si="0"/>
        <v>-18.2363</v>
      </c>
      <c r="W16" s="86"/>
    </row>
    <row r="17" spans="1:23" ht="12.75">
      <c r="A17" s="2">
        <v>15</v>
      </c>
      <c r="B17" s="80" t="s">
        <v>94</v>
      </c>
      <c r="C17" s="43">
        <f>'2013年5月'!U17</f>
        <v>81.6616</v>
      </c>
      <c r="D17" s="44">
        <v>1</v>
      </c>
      <c r="E17" s="45"/>
      <c r="F17" s="46">
        <f t="shared" si="1"/>
        <v>-17.5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>
        <v>1</v>
      </c>
      <c r="T17" s="47">
        <f t="shared" si="6"/>
        <v>-1.1846</v>
      </c>
      <c r="U17" s="76">
        <f t="shared" si="0"/>
        <v>62.977000000000004</v>
      </c>
      <c r="W17" s="86"/>
    </row>
    <row r="18" spans="1:23" ht="12.75">
      <c r="A18" s="2">
        <v>16</v>
      </c>
      <c r="B18" s="77"/>
      <c r="C18" s="49"/>
      <c r="D18" s="50"/>
      <c r="E18" s="51"/>
      <c r="F18" s="52"/>
      <c r="G18" s="50"/>
      <c r="H18" s="51"/>
      <c r="I18" s="52"/>
      <c r="J18" s="50"/>
      <c r="K18" s="51"/>
      <c r="L18" s="52"/>
      <c r="M18" s="50"/>
      <c r="N18" s="51"/>
      <c r="O18" s="52"/>
      <c r="P18" s="87"/>
      <c r="Q18" s="96"/>
      <c r="R18" s="52">
        <f t="shared" si="5"/>
        <v>0</v>
      </c>
      <c r="S18" s="50"/>
      <c r="T18" s="53">
        <f t="shared" si="6"/>
        <v>0</v>
      </c>
      <c r="U18" s="76"/>
      <c r="W18" s="86"/>
    </row>
    <row r="19" spans="1:23" ht="12.75">
      <c r="A19" s="2">
        <v>17</v>
      </c>
      <c r="B19" s="77" t="s">
        <v>69</v>
      </c>
      <c r="C19" s="49">
        <f>'2013年5月'!U19</f>
        <v>-0.011099999999990118</v>
      </c>
      <c r="D19" s="50">
        <v>1</v>
      </c>
      <c r="E19" s="51">
        <v>100</v>
      </c>
      <c r="F19" s="52">
        <f t="shared" si="1"/>
        <v>-17.5</v>
      </c>
      <c r="G19" s="50">
        <v>1</v>
      </c>
      <c r="H19" s="51"/>
      <c r="I19" s="52">
        <f t="shared" si="2"/>
        <v>-17.0588</v>
      </c>
      <c r="J19" s="50">
        <v>1</v>
      </c>
      <c r="K19" s="51"/>
      <c r="L19" s="52">
        <f t="shared" si="3"/>
        <v>-17.6471</v>
      </c>
      <c r="M19" s="50">
        <v>1</v>
      </c>
      <c r="N19" s="51"/>
      <c r="O19" s="52">
        <f t="shared" si="4"/>
        <v>-18.75</v>
      </c>
      <c r="P19" s="87">
        <v>1</v>
      </c>
      <c r="Q19" s="96"/>
      <c r="R19" s="52">
        <f t="shared" si="5"/>
        <v>-18.75</v>
      </c>
      <c r="S19" s="54">
        <v>1</v>
      </c>
      <c r="T19" s="53">
        <f t="shared" si="6"/>
        <v>-1.1846</v>
      </c>
      <c r="U19" s="76">
        <f t="shared" si="0"/>
        <v>9.098400000000016</v>
      </c>
      <c r="W19" s="86"/>
    </row>
    <row r="20" spans="1:23" ht="12.75">
      <c r="A20" s="2">
        <v>18</v>
      </c>
      <c r="B20" s="77" t="s">
        <v>97</v>
      </c>
      <c r="C20" s="49">
        <f>'2013年5月'!U20</f>
        <v>89.3812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>
        <v>1</v>
      </c>
      <c r="T20" s="53">
        <f t="shared" si="6"/>
        <v>-1.1846</v>
      </c>
      <c r="U20" s="76">
        <f t="shared" si="0"/>
        <v>88.1966</v>
      </c>
      <c r="W20" s="86"/>
    </row>
    <row r="21" spans="1:23" ht="12.75">
      <c r="A21" s="2">
        <v>19</v>
      </c>
      <c r="B21" s="78" t="s">
        <v>125</v>
      </c>
      <c r="C21" s="55">
        <f>'2013年5月'!U21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>
        <v>28.4314</v>
      </c>
      <c r="U21" s="76">
        <f t="shared" si="0"/>
        <v>0</v>
      </c>
      <c r="W21" s="86"/>
    </row>
    <row r="22" spans="1:23" ht="12.75">
      <c r="A22" s="2">
        <v>20</v>
      </c>
      <c r="B22" s="78" t="s">
        <v>72</v>
      </c>
      <c r="C22" s="55">
        <f>'2013年5月'!U22</f>
        <v>39.68489999999998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>
        <f t="shared" si="6"/>
        <v>0</v>
      </c>
      <c r="U22" s="76">
        <f t="shared" si="0"/>
        <v>39.68489999999998</v>
      </c>
      <c r="W22" s="86"/>
    </row>
    <row r="23" spans="1:23" ht="12.75">
      <c r="A23" s="2">
        <v>21</v>
      </c>
      <c r="B23" s="78" t="s">
        <v>73</v>
      </c>
      <c r="C23" s="55">
        <f>'2013年5月'!U23</f>
        <v>67.38099999999996</v>
      </c>
      <c r="D23" s="56">
        <v>1</v>
      </c>
      <c r="E23" s="57"/>
      <c r="F23" s="58">
        <f t="shared" si="1"/>
        <v>-17.5</v>
      </c>
      <c r="G23" s="56">
        <v>1</v>
      </c>
      <c r="H23" s="57">
        <v>200</v>
      </c>
      <c r="I23" s="58">
        <f t="shared" si="2"/>
        <v>-17.0588</v>
      </c>
      <c r="J23" s="56">
        <v>1</v>
      </c>
      <c r="K23" s="57"/>
      <c r="L23" s="58">
        <f t="shared" si="3"/>
        <v>-17.6471</v>
      </c>
      <c r="M23" s="56">
        <v>1</v>
      </c>
      <c r="N23" s="57"/>
      <c r="O23" s="58">
        <f t="shared" si="4"/>
        <v>-18.75</v>
      </c>
      <c r="P23" s="89">
        <v>1</v>
      </c>
      <c r="Q23" s="98"/>
      <c r="R23" s="58">
        <f t="shared" si="5"/>
        <v>-18.75</v>
      </c>
      <c r="S23" s="60">
        <v>1</v>
      </c>
      <c r="T23" s="59">
        <f t="shared" si="6"/>
        <v>-1.1846</v>
      </c>
      <c r="U23" s="76">
        <f t="shared" si="0"/>
        <v>176.4905</v>
      </c>
      <c r="W23" s="86"/>
    </row>
    <row r="24" spans="1:23" ht="12.75">
      <c r="A24" s="2">
        <v>22</v>
      </c>
      <c r="B24" s="81" t="s">
        <v>74</v>
      </c>
      <c r="C24" s="67">
        <f>'2013年5月'!U24</f>
        <v>67.11820000000002</v>
      </c>
      <c r="D24" s="68">
        <v>1</v>
      </c>
      <c r="E24" s="69"/>
      <c r="F24" s="70">
        <f t="shared" si="1"/>
        <v>-17.5</v>
      </c>
      <c r="G24" s="68"/>
      <c r="H24" s="69"/>
      <c r="I24" s="70">
        <f t="shared" si="2"/>
        <v>0</v>
      </c>
      <c r="J24" s="68">
        <v>1</v>
      </c>
      <c r="K24" s="69"/>
      <c r="L24" s="70">
        <f t="shared" si="3"/>
        <v>-17.6471</v>
      </c>
      <c r="M24" s="68">
        <v>1</v>
      </c>
      <c r="N24" s="69"/>
      <c r="O24" s="70">
        <f t="shared" si="4"/>
        <v>-18.75</v>
      </c>
      <c r="P24" s="90">
        <v>1</v>
      </c>
      <c r="Q24" s="99"/>
      <c r="R24" s="70">
        <f t="shared" si="5"/>
        <v>-18.75</v>
      </c>
      <c r="S24" s="68">
        <v>1</v>
      </c>
      <c r="T24" s="71">
        <f t="shared" si="6"/>
        <v>-1.1846</v>
      </c>
      <c r="U24" s="76">
        <f t="shared" si="0"/>
        <v>-6.713499999999982</v>
      </c>
      <c r="W24" s="86"/>
    </row>
    <row r="25" spans="1:23" ht="12.75">
      <c r="A25" s="2">
        <v>23</v>
      </c>
      <c r="B25" s="81" t="s">
        <v>75</v>
      </c>
      <c r="C25" s="67">
        <f>'2013年5月'!U25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>
        <f t="shared" si="6"/>
        <v>0</v>
      </c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'2013年5月'!U26</f>
        <v>67.48570000000002</v>
      </c>
      <c r="D26" s="68"/>
      <c r="E26" s="69"/>
      <c r="F26" s="70">
        <f t="shared" si="1"/>
        <v>0</v>
      </c>
      <c r="G26" s="68">
        <v>1</v>
      </c>
      <c r="H26" s="69"/>
      <c r="I26" s="70">
        <f t="shared" si="2"/>
        <v>-17.0588</v>
      </c>
      <c r="J26" s="68">
        <v>1</v>
      </c>
      <c r="K26" s="69"/>
      <c r="L26" s="70">
        <f t="shared" si="3"/>
        <v>-17.6471</v>
      </c>
      <c r="M26" s="68">
        <v>1</v>
      </c>
      <c r="N26" s="69"/>
      <c r="O26" s="70">
        <f t="shared" si="4"/>
        <v>-18.75</v>
      </c>
      <c r="P26" s="90">
        <v>2</v>
      </c>
      <c r="Q26" s="99"/>
      <c r="R26" s="70">
        <f t="shared" si="5"/>
        <v>-37.5</v>
      </c>
      <c r="S26" s="72">
        <v>1</v>
      </c>
      <c r="T26" s="71">
        <f t="shared" si="6"/>
        <v>-1.1846</v>
      </c>
      <c r="U26" s="76">
        <f t="shared" si="0"/>
        <v>-24.654799999999977</v>
      </c>
      <c r="W26" s="86"/>
    </row>
    <row r="27" spans="1:23" ht="12.75">
      <c r="A27" s="2">
        <v>25</v>
      </c>
      <c r="B27" s="79" t="s">
        <v>98</v>
      </c>
      <c r="C27" s="61">
        <f>'2013年5月'!U27</f>
        <v>55.153899999999986</v>
      </c>
      <c r="D27" s="62">
        <v>1</v>
      </c>
      <c r="E27" s="73"/>
      <c r="F27" s="64">
        <f t="shared" si="1"/>
        <v>-17.5</v>
      </c>
      <c r="G27" s="62">
        <v>1</v>
      </c>
      <c r="H27" s="73"/>
      <c r="I27" s="64">
        <f t="shared" si="2"/>
        <v>-17.0588</v>
      </c>
      <c r="J27" s="62">
        <v>1</v>
      </c>
      <c r="K27" s="73"/>
      <c r="L27" s="64">
        <f t="shared" si="3"/>
        <v>-17.6471</v>
      </c>
      <c r="M27" s="62"/>
      <c r="N27" s="73"/>
      <c r="O27" s="64">
        <f t="shared" si="4"/>
        <v>0</v>
      </c>
      <c r="P27" s="92">
        <v>1</v>
      </c>
      <c r="Q27" s="101">
        <v>100</v>
      </c>
      <c r="R27" s="64">
        <f t="shared" si="5"/>
        <v>-18.75</v>
      </c>
      <c r="S27" s="62">
        <v>1</v>
      </c>
      <c r="T27" s="66">
        <f t="shared" si="6"/>
        <v>-1.1846</v>
      </c>
      <c r="U27" s="76">
        <f t="shared" si="0"/>
        <v>83.01339999999999</v>
      </c>
      <c r="W27" s="86"/>
    </row>
    <row r="28" spans="1:23" ht="12.75">
      <c r="A28" s="2">
        <v>26</v>
      </c>
      <c r="B28" s="79" t="s">
        <v>99</v>
      </c>
      <c r="C28" s="61">
        <f>'2013年5月'!U28</f>
        <v>270.333</v>
      </c>
      <c r="D28" s="65">
        <v>1</v>
      </c>
      <c r="E28" s="73"/>
      <c r="F28" s="64">
        <f t="shared" si="1"/>
        <v>-17.5</v>
      </c>
      <c r="G28" s="65"/>
      <c r="H28" s="73"/>
      <c r="I28" s="64">
        <f t="shared" si="2"/>
        <v>0</v>
      </c>
      <c r="J28" s="65">
        <v>1</v>
      </c>
      <c r="K28" s="73"/>
      <c r="L28" s="64">
        <f t="shared" si="3"/>
        <v>-17.6471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>
        <v>1</v>
      </c>
      <c r="T28" s="66">
        <f t="shared" si="6"/>
        <v>-1.1846</v>
      </c>
      <c r="U28" s="76">
        <f t="shared" si="0"/>
        <v>234.00130000000004</v>
      </c>
      <c r="W28" s="86"/>
    </row>
    <row r="29" spans="1:23" ht="12.75">
      <c r="A29" s="2">
        <v>27</v>
      </c>
      <c r="B29" s="79" t="s">
        <v>100</v>
      </c>
      <c r="C29" s="61">
        <f>'2013年5月'!U29</f>
        <v>63.5991</v>
      </c>
      <c r="D29" s="62">
        <v>1</v>
      </c>
      <c r="E29" s="63"/>
      <c r="F29" s="64">
        <f t="shared" si="1"/>
        <v>-17.5</v>
      </c>
      <c r="G29" s="62">
        <v>1</v>
      </c>
      <c r="H29" s="63"/>
      <c r="I29" s="64">
        <f t="shared" si="2"/>
        <v>-17.0588</v>
      </c>
      <c r="J29" s="62"/>
      <c r="K29" s="63"/>
      <c r="L29" s="64">
        <f t="shared" si="3"/>
        <v>0</v>
      </c>
      <c r="M29" s="62">
        <v>1</v>
      </c>
      <c r="N29" s="63">
        <v>-10</v>
      </c>
      <c r="O29" s="64">
        <f t="shared" si="4"/>
        <v>-18.75</v>
      </c>
      <c r="P29" s="92"/>
      <c r="Q29" s="101"/>
      <c r="R29" s="64">
        <f t="shared" si="5"/>
        <v>0</v>
      </c>
      <c r="S29" s="62">
        <v>1</v>
      </c>
      <c r="T29" s="66">
        <f t="shared" si="6"/>
        <v>-1.1846</v>
      </c>
      <c r="U29" s="76">
        <f t="shared" si="0"/>
        <v>-0.8943000000000016</v>
      </c>
      <c r="W29" s="86"/>
    </row>
    <row r="30" spans="1:23" ht="12.75">
      <c r="A30" s="2">
        <v>28</v>
      </c>
      <c r="B30" s="80" t="s">
        <v>80</v>
      </c>
      <c r="C30" s="43">
        <f>'2013年5月'!U30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>
        <f t="shared" si="6"/>
        <v>0</v>
      </c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'2013年5月'!U31</f>
        <v>35.85630000000001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-17.0588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>
        <v>1</v>
      </c>
      <c r="Q31" s="102">
        <v>100</v>
      </c>
      <c r="R31" s="46">
        <f t="shared" si="5"/>
        <v>-18.75</v>
      </c>
      <c r="S31" s="44">
        <v>1</v>
      </c>
      <c r="T31" s="47">
        <f t="shared" si="6"/>
        <v>-1.1846</v>
      </c>
      <c r="U31" s="76">
        <f t="shared" si="0"/>
        <v>98.86290000000001</v>
      </c>
      <c r="W31" s="86"/>
    </row>
    <row r="32" spans="1:23" ht="12.75">
      <c r="A32" s="2">
        <v>30</v>
      </c>
      <c r="B32" s="80" t="s">
        <v>54</v>
      </c>
      <c r="C32" s="43">
        <f>'2013年5月'!U32</f>
        <v>147.2403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>
        <v>-147.2403</v>
      </c>
      <c r="R32" s="46">
        <f t="shared" si="5"/>
        <v>0</v>
      </c>
      <c r="S32" s="48"/>
      <c r="T32" s="47">
        <f t="shared" si="6"/>
        <v>0</v>
      </c>
      <c r="U32" s="76">
        <f t="shared" si="0"/>
        <v>0</v>
      </c>
      <c r="W32" s="86"/>
    </row>
    <row r="33" spans="1:23" ht="12.75">
      <c r="A33" s="2">
        <v>31</v>
      </c>
      <c r="B33" s="77" t="s">
        <v>104</v>
      </c>
      <c r="C33" s="49">
        <f>'2013年5月'!U33</f>
        <v>40.773799999999994</v>
      </c>
      <c r="D33" s="50">
        <v>1</v>
      </c>
      <c r="E33" s="51"/>
      <c r="F33" s="52">
        <f t="shared" si="1"/>
        <v>-17.5</v>
      </c>
      <c r="G33" s="50">
        <v>1</v>
      </c>
      <c r="H33" s="51"/>
      <c r="I33" s="52">
        <f>-17.0588*G33-10</f>
        <v>-27.0588</v>
      </c>
      <c r="J33" s="50">
        <v>1</v>
      </c>
      <c r="K33" s="51"/>
      <c r="L33" s="52">
        <f t="shared" si="3"/>
        <v>-17.6471</v>
      </c>
      <c r="M33" s="50">
        <v>1</v>
      </c>
      <c r="N33" s="51"/>
      <c r="O33" s="52">
        <f t="shared" si="4"/>
        <v>-18.75</v>
      </c>
      <c r="P33" s="87">
        <v>1</v>
      </c>
      <c r="Q33" s="96">
        <v>100</v>
      </c>
      <c r="R33" s="52">
        <f t="shared" si="5"/>
        <v>-18.75</v>
      </c>
      <c r="S33" s="50">
        <v>1</v>
      </c>
      <c r="T33" s="53">
        <f t="shared" si="6"/>
        <v>-1.1846</v>
      </c>
      <c r="U33" s="76">
        <f t="shared" si="0"/>
        <v>39.88329999999999</v>
      </c>
      <c r="W33" s="86"/>
    </row>
    <row r="34" spans="1:23" ht="12.75">
      <c r="A34" s="2">
        <v>32</v>
      </c>
      <c r="B34" s="77"/>
      <c r="C34" s="49">
        <f>'2013年5月'!U34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>
        <f t="shared" si="6"/>
        <v>0</v>
      </c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'2013年5月'!U35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>
        <f t="shared" si="6"/>
        <v>0</v>
      </c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'2013年5月'!U36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>
        <f t="shared" si="6"/>
        <v>0</v>
      </c>
      <c r="U36" s="76">
        <f t="shared" si="0"/>
        <v>3.7033</v>
      </c>
      <c r="W36" s="86"/>
    </row>
    <row r="37" spans="1:23" ht="12.75">
      <c r="A37" s="2">
        <v>35</v>
      </c>
      <c r="B37" s="78" t="s">
        <v>123</v>
      </c>
      <c r="C37" s="55"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>
        <f t="shared" si="6"/>
        <v>0</v>
      </c>
      <c r="U37" s="76">
        <f t="shared" si="0"/>
        <v>56.6317</v>
      </c>
      <c r="V37" s="28"/>
      <c r="W37" s="86"/>
    </row>
    <row r="38" spans="1:23" ht="12.75">
      <c r="A38" s="2">
        <v>36</v>
      </c>
      <c r="B38" s="78"/>
      <c r="C38" s="55">
        <f>'2013年5月'!U38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>
        <f t="shared" si="6"/>
        <v>0</v>
      </c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'2013年5月'!U39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>
        <f t="shared" si="6"/>
        <v>0</v>
      </c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'2013年5月'!U40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>
        <f t="shared" si="6"/>
        <v>0</v>
      </c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'2013年5月'!U41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>
        <f t="shared" si="6"/>
        <v>0</v>
      </c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32</v>
      </c>
      <c r="D43" s="1">
        <f>SUM(D3:D41)</f>
        <v>16</v>
      </c>
      <c r="F43" s="1">
        <f>E54/D43</f>
        <v>17.5</v>
      </c>
      <c r="G43" s="1">
        <f>SUM(G3:G41)</f>
        <v>17</v>
      </c>
      <c r="I43" s="1">
        <f>H54/G43</f>
        <v>17.058823529411764</v>
      </c>
      <c r="J43" s="1">
        <f>SUM(J3:J41)</f>
        <v>17</v>
      </c>
      <c r="L43" s="1">
        <f>K54/J43</f>
        <v>17.647058823529413</v>
      </c>
      <c r="M43" s="1">
        <f>SUM(M3:M41)</f>
        <v>16</v>
      </c>
      <c r="O43" s="1">
        <f>N54/M43</f>
        <v>18.75</v>
      </c>
      <c r="P43" s="1">
        <f>SUM(P3:P41)</f>
        <v>16</v>
      </c>
      <c r="R43" s="1">
        <f>Q54/P43</f>
        <v>18.75</v>
      </c>
      <c r="S43" s="1">
        <f>SUM(S3:S42)</f>
        <v>24</v>
      </c>
      <c r="T43" s="27">
        <f>SUM(T3:T41)</f>
        <v>0.0010000000000029985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-280</v>
      </c>
      <c r="H45" s="28" t="s">
        <v>84</v>
      </c>
      <c r="I45" s="1">
        <f>SUM(I3:I41)</f>
        <v>-299.9996</v>
      </c>
      <c r="K45" s="28" t="s">
        <v>84</v>
      </c>
      <c r="L45" s="1">
        <f>SUM(L3:L41)</f>
        <v>-300.0007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-300</v>
      </c>
      <c r="U45" s="19"/>
    </row>
    <row r="46" spans="2:21" ht="12.75">
      <c r="B46" s="29" t="s">
        <v>85</v>
      </c>
      <c r="C46" s="27">
        <f>SUM(C3:C41)</f>
        <v>1999.9978999999998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2099.9986000000004</v>
      </c>
      <c r="W47" s="86">
        <f>U47</f>
        <v>2099.9986000000004</v>
      </c>
    </row>
    <row r="48" spans="2:20" ht="12.75" customHeight="1">
      <c r="B48" s="86"/>
      <c r="D48" s="117" t="s">
        <v>116</v>
      </c>
      <c r="E48" s="118"/>
      <c r="F48" s="119"/>
      <c r="G48" s="117" t="s">
        <v>117</v>
      </c>
      <c r="H48" s="118"/>
      <c r="I48" s="119"/>
      <c r="J48" s="117" t="s">
        <v>118</v>
      </c>
      <c r="K48" s="118"/>
      <c r="L48" s="119"/>
      <c r="M48" s="117" t="s">
        <v>119</v>
      </c>
      <c r="N48" s="118"/>
      <c r="O48" s="119"/>
      <c r="P48" s="117" t="s">
        <v>120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280</v>
      </c>
      <c r="F54" s="37"/>
      <c r="G54" s="38" t="s">
        <v>87</v>
      </c>
      <c r="H54" s="36">
        <f>H56-H72-H81</f>
        <v>290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 t="s">
        <v>121</v>
      </c>
      <c r="E62" s="113"/>
      <c r="F62" s="113"/>
      <c r="G62" s="113"/>
      <c r="H62" s="113"/>
      <c r="I62" s="113"/>
      <c r="J62" s="113" t="s">
        <v>122</v>
      </c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 t="s">
        <v>107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 t="s">
        <v>104</v>
      </c>
      <c r="H70" s="1">
        <v>10</v>
      </c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>
        <v>20</v>
      </c>
      <c r="H72" s="28">
        <f>SUM(H70:H71)</f>
        <v>10</v>
      </c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7">
    <mergeCell ref="G90:I91"/>
    <mergeCell ref="J90:L91"/>
    <mergeCell ref="G62:I64"/>
    <mergeCell ref="G48:I52"/>
    <mergeCell ref="J62:L64"/>
    <mergeCell ref="J60:L60"/>
    <mergeCell ref="J75:K75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15" sqref="Q1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41476</v>
      </c>
      <c r="E1" s="126"/>
      <c r="F1" s="127"/>
      <c r="G1" s="16"/>
      <c r="H1" s="24">
        <v>41483</v>
      </c>
      <c r="I1" s="17"/>
      <c r="J1" s="30"/>
      <c r="K1" s="24">
        <v>41497</v>
      </c>
      <c r="L1" s="31"/>
      <c r="M1" s="16"/>
      <c r="N1" s="24">
        <v>41504</v>
      </c>
      <c r="O1" s="17"/>
      <c r="P1" s="16"/>
      <c r="Q1" s="24">
        <v>41511</v>
      </c>
      <c r="R1" s="17"/>
      <c r="S1" s="128" t="s">
        <v>126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'2013年6月'!U3</f>
        <v>127.4606</v>
      </c>
      <c r="D3" s="50">
        <v>1</v>
      </c>
      <c r="E3" s="51"/>
      <c r="F3" s="52">
        <f>-15.7895*D3</f>
        <v>-15.7895</v>
      </c>
      <c r="G3" s="50">
        <v>1</v>
      </c>
      <c r="H3" s="51"/>
      <c r="I3" s="52">
        <f>-11.5385*G3</f>
        <v>-11.5385</v>
      </c>
      <c r="J3" s="50">
        <v>1</v>
      </c>
      <c r="K3" s="51"/>
      <c r="L3" s="52">
        <f>-16.6667*J3</f>
        <v>-16.6667</v>
      </c>
      <c r="M3" s="50"/>
      <c r="N3" s="51"/>
      <c r="O3" s="52">
        <f>-15.5556*M3</f>
        <v>0</v>
      </c>
      <c r="P3" s="87">
        <v>1</v>
      </c>
      <c r="Q3" s="96"/>
      <c r="R3" s="52">
        <f>-14.2856*P3</f>
        <v>-14.2856</v>
      </c>
      <c r="S3" s="50"/>
      <c r="T3" s="53"/>
      <c r="U3" s="76">
        <f aca="true" t="shared" si="0" ref="U3:U18">C3+E3+F3+H3+I3+K3+L3+N3+O3+T3+Q3+R3</f>
        <v>69.1803</v>
      </c>
      <c r="W3" s="86"/>
    </row>
    <row r="4" spans="1:23" ht="12.75">
      <c r="A4" s="2">
        <v>2</v>
      </c>
      <c r="B4" s="75" t="s">
        <v>3</v>
      </c>
      <c r="C4" s="49">
        <f>'2013年6月'!U4</f>
        <v>38.90530000000001</v>
      </c>
      <c r="D4" s="50">
        <v>1</v>
      </c>
      <c r="E4" s="51"/>
      <c r="F4" s="52">
        <f aca="true" t="shared" si="1" ref="F4:F41">-15.7895*D4</f>
        <v>-15.7895</v>
      </c>
      <c r="G4" s="50">
        <v>1</v>
      </c>
      <c r="H4" s="51"/>
      <c r="I4" s="52">
        <f aca="true" t="shared" si="2" ref="I4:I41">-11.5385*G4</f>
        <v>-11.5385</v>
      </c>
      <c r="J4" s="50">
        <v>1</v>
      </c>
      <c r="K4" s="51"/>
      <c r="L4" s="52">
        <f aca="true" t="shared" si="3" ref="L4:L41">-16.6667*J4</f>
        <v>-16.6667</v>
      </c>
      <c r="M4" s="50">
        <v>1</v>
      </c>
      <c r="N4" s="51"/>
      <c r="O4" s="52">
        <f aca="true" t="shared" si="4" ref="O4:O41">-15.5556*M4</f>
        <v>-15.5556</v>
      </c>
      <c r="P4" s="87">
        <v>1</v>
      </c>
      <c r="Q4" s="96">
        <v>200</v>
      </c>
      <c r="R4" s="52">
        <f aca="true" t="shared" si="5" ref="R4:R41">-14.2856*P4</f>
        <v>-14.2856</v>
      </c>
      <c r="S4" s="54"/>
      <c r="T4" s="53"/>
      <c r="U4" s="76">
        <f t="shared" si="0"/>
        <v>165.06940000000003</v>
      </c>
      <c r="W4" s="86"/>
    </row>
    <row r="5" spans="1:23" ht="12.75">
      <c r="A5" s="2">
        <v>3</v>
      </c>
      <c r="B5" s="77" t="s">
        <v>127</v>
      </c>
      <c r="C5" s="49">
        <f>'2013年6月'!U5</f>
        <v>65.78059999999999</v>
      </c>
      <c r="D5" s="50">
        <v>1</v>
      </c>
      <c r="E5" s="51"/>
      <c r="F5" s="52">
        <f t="shared" si="1"/>
        <v>-15.7895</v>
      </c>
      <c r="G5" s="50">
        <v>1</v>
      </c>
      <c r="H5" s="51"/>
      <c r="I5" s="52">
        <f t="shared" si="2"/>
        <v>-11.5385</v>
      </c>
      <c r="J5" s="50"/>
      <c r="K5" s="51"/>
      <c r="L5" s="52">
        <f t="shared" si="3"/>
        <v>0</v>
      </c>
      <c r="M5" s="50">
        <v>1</v>
      </c>
      <c r="N5" s="51"/>
      <c r="O5" s="52">
        <f t="shared" si="4"/>
        <v>-15.5556</v>
      </c>
      <c r="P5" s="87"/>
      <c r="Q5" s="96"/>
      <c r="R5" s="52">
        <f t="shared" si="5"/>
        <v>0</v>
      </c>
      <c r="S5" s="50"/>
      <c r="T5" s="53"/>
      <c r="U5" s="76">
        <f t="shared" si="0"/>
        <v>22.89699999999999</v>
      </c>
      <c r="W5" s="86"/>
    </row>
    <row r="6" spans="1:23" ht="12.75">
      <c r="A6" s="2">
        <v>4</v>
      </c>
      <c r="B6" s="110">
        <v>9631</v>
      </c>
      <c r="C6" s="55">
        <f>'2013年6月'!U6</f>
        <v>56.42759999999997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-15.5556</v>
      </c>
      <c r="P6" s="88">
        <v>1</v>
      </c>
      <c r="Q6" s="97"/>
      <c r="R6" s="58">
        <f t="shared" si="5"/>
        <v>-14.2856</v>
      </c>
      <c r="S6" s="60"/>
      <c r="T6" s="59"/>
      <c r="U6" s="76">
        <f t="shared" si="0"/>
        <v>26.58639999999997</v>
      </c>
      <c r="W6" s="86"/>
    </row>
    <row r="7" spans="1:23" ht="12.75">
      <c r="A7" s="2">
        <v>5</v>
      </c>
      <c r="B7" s="78" t="s">
        <v>128</v>
      </c>
      <c r="C7" s="55">
        <f>'2013年6月'!U7</f>
        <v>152.976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-11.5385</v>
      </c>
      <c r="J7" s="56">
        <v>1</v>
      </c>
      <c r="K7" s="57"/>
      <c r="L7" s="58">
        <f t="shared" si="3"/>
        <v>-16.6667</v>
      </c>
      <c r="M7" s="56">
        <v>1</v>
      </c>
      <c r="N7" s="57"/>
      <c r="O7" s="58">
        <f t="shared" si="4"/>
        <v>-15.5556</v>
      </c>
      <c r="P7" s="89"/>
      <c r="Q7" s="98"/>
      <c r="R7" s="58">
        <f t="shared" si="5"/>
        <v>0</v>
      </c>
      <c r="S7" s="56"/>
      <c r="T7" s="59"/>
      <c r="U7" s="76">
        <f t="shared" si="0"/>
        <v>109.21520000000001</v>
      </c>
      <c r="W7" s="86"/>
    </row>
    <row r="8" spans="1:23" ht="12.75">
      <c r="A8" s="2">
        <v>6</v>
      </c>
      <c r="B8" s="78" t="s">
        <v>129</v>
      </c>
      <c r="C8" s="55">
        <f>'2013年6月'!U8</f>
        <v>92.19600000000004</v>
      </c>
      <c r="D8" s="56">
        <v>1</v>
      </c>
      <c r="E8" s="57"/>
      <c r="F8" s="58">
        <f t="shared" si="1"/>
        <v>-15.7895</v>
      </c>
      <c r="G8" s="56">
        <v>1</v>
      </c>
      <c r="H8" s="57"/>
      <c r="I8" s="58">
        <f t="shared" si="2"/>
        <v>-11.5385</v>
      </c>
      <c r="J8" s="56">
        <v>1</v>
      </c>
      <c r="K8" s="57"/>
      <c r="L8" s="58">
        <f t="shared" si="3"/>
        <v>-16.6667</v>
      </c>
      <c r="M8" s="56"/>
      <c r="N8" s="57"/>
      <c r="O8" s="58">
        <f t="shared" si="4"/>
        <v>0</v>
      </c>
      <c r="P8" s="89">
        <v>1</v>
      </c>
      <c r="Q8" s="98"/>
      <c r="R8" s="58">
        <f t="shared" si="5"/>
        <v>-14.2856</v>
      </c>
      <c r="S8" s="60"/>
      <c r="T8" s="59"/>
      <c r="U8" s="76">
        <f t="shared" si="0"/>
        <v>33.91570000000004</v>
      </c>
      <c r="W8" s="86"/>
    </row>
    <row r="9" spans="1:23" ht="12.75">
      <c r="A9" s="2">
        <v>7</v>
      </c>
      <c r="B9" s="109" t="s">
        <v>130</v>
      </c>
      <c r="C9" s="67">
        <f>'2013年6月'!U9</f>
        <v>99.3557</v>
      </c>
      <c r="D9" s="68">
        <v>1</v>
      </c>
      <c r="E9" s="69"/>
      <c r="F9" s="70">
        <f t="shared" si="1"/>
        <v>-15.7895</v>
      </c>
      <c r="G9" s="68">
        <v>1</v>
      </c>
      <c r="H9" s="69"/>
      <c r="I9" s="70">
        <f t="shared" si="2"/>
        <v>-11.5385</v>
      </c>
      <c r="J9" s="68">
        <v>1</v>
      </c>
      <c r="K9" s="69"/>
      <c r="L9" s="70">
        <f t="shared" si="3"/>
        <v>-16.6667</v>
      </c>
      <c r="M9" s="68">
        <v>1</v>
      </c>
      <c r="N9" s="69"/>
      <c r="O9" s="70">
        <f t="shared" si="4"/>
        <v>-15.5556</v>
      </c>
      <c r="P9" s="90">
        <v>1</v>
      </c>
      <c r="Q9" s="99"/>
      <c r="R9" s="70">
        <f t="shared" si="5"/>
        <v>-14.2856</v>
      </c>
      <c r="S9" s="68"/>
      <c r="T9" s="71"/>
      <c r="U9" s="76">
        <f t="shared" si="0"/>
        <v>25.519799999999996</v>
      </c>
      <c r="W9" s="86"/>
    </row>
    <row r="10" spans="1:23" ht="12.75">
      <c r="A10" s="2">
        <v>8</v>
      </c>
      <c r="B10" s="81" t="s">
        <v>131</v>
      </c>
      <c r="C10" s="67">
        <f>'2013年6月'!U10</f>
        <v>413.54350000000005</v>
      </c>
      <c r="D10" s="72">
        <v>3</v>
      </c>
      <c r="E10" s="69"/>
      <c r="F10" s="70">
        <f t="shared" si="1"/>
        <v>-47.3685</v>
      </c>
      <c r="G10" s="72">
        <v>1</v>
      </c>
      <c r="H10" s="69"/>
      <c r="I10" s="70">
        <f t="shared" si="2"/>
        <v>-11.5385</v>
      </c>
      <c r="J10" s="72">
        <v>1</v>
      </c>
      <c r="K10" s="69">
        <v>-300</v>
      </c>
      <c r="L10" s="70">
        <f t="shared" si="3"/>
        <v>-16.6667</v>
      </c>
      <c r="M10" s="72">
        <v>1</v>
      </c>
      <c r="N10" s="69"/>
      <c r="O10" s="70">
        <f t="shared" si="4"/>
        <v>-15.5556</v>
      </c>
      <c r="P10" s="91">
        <v>1</v>
      </c>
      <c r="Q10" s="100"/>
      <c r="R10" s="70">
        <f t="shared" si="5"/>
        <v>-14.2856</v>
      </c>
      <c r="S10" s="72"/>
      <c r="T10" s="71"/>
      <c r="U10" s="76">
        <f t="shared" si="0"/>
        <v>8.128600000000072</v>
      </c>
      <c r="W10" s="86"/>
    </row>
    <row r="11" spans="1:23" ht="12.75">
      <c r="A11" s="2">
        <v>9</v>
      </c>
      <c r="B11" s="109" t="s">
        <v>132</v>
      </c>
      <c r="C11" s="67">
        <f>'2013年6月'!U11</f>
        <v>50.04450000000001</v>
      </c>
      <c r="D11" s="68">
        <v>1</v>
      </c>
      <c r="E11" s="69"/>
      <c r="F11" s="70">
        <f t="shared" si="1"/>
        <v>-15.7895</v>
      </c>
      <c r="G11" s="68">
        <v>1</v>
      </c>
      <c r="H11" s="69"/>
      <c r="I11" s="70">
        <f t="shared" si="2"/>
        <v>-11.5385</v>
      </c>
      <c r="J11" s="68">
        <v>1</v>
      </c>
      <c r="K11" s="69"/>
      <c r="L11" s="70">
        <f t="shared" si="3"/>
        <v>-16.6667</v>
      </c>
      <c r="M11" s="68">
        <v>1</v>
      </c>
      <c r="N11" s="69"/>
      <c r="O11" s="70">
        <f t="shared" si="4"/>
        <v>-15.5556</v>
      </c>
      <c r="P11" s="90">
        <v>1</v>
      </c>
      <c r="Q11" s="99">
        <v>200</v>
      </c>
      <c r="R11" s="70">
        <f t="shared" si="5"/>
        <v>-14.2856</v>
      </c>
      <c r="S11" s="68"/>
      <c r="T11" s="71"/>
      <c r="U11" s="76">
        <f t="shared" si="0"/>
        <v>176.20860000000002</v>
      </c>
      <c r="W11" s="86"/>
    </row>
    <row r="12" spans="1:23" ht="12.75">
      <c r="A12" s="2">
        <v>10</v>
      </c>
      <c r="B12" s="79" t="s">
        <v>133</v>
      </c>
      <c r="C12" s="61">
        <f>'2013年6月'!U12</f>
        <v>22.98649999999999</v>
      </c>
      <c r="D12" s="62"/>
      <c r="E12" s="63"/>
      <c r="F12" s="64">
        <f t="shared" si="1"/>
        <v>0</v>
      </c>
      <c r="G12" s="62">
        <v>1</v>
      </c>
      <c r="H12" s="63"/>
      <c r="I12" s="64">
        <f t="shared" si="2"/>
        <v>-11.5385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/>
      <c r="T12" s="66"/>
      <c r="U12" s="76">
        <f t="shared" si="0"/>
        <v>11.447999999999988</v>
      </c>
      <c r="W12" s="86"/>
    </row>
    <row r="13" spans="1:23" ht="12.75">
      <c r="A13" s="2">
        <v>11</v>
      </c>
      <c r="B13" s="79" t="s">
        <v>134</v>
      </c>
      <c r="C13" s="61">
        <f>'2013年6月'!U13</f>
        <v>-1.5493000000000028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-11.5385</v>
      </c>
      <c r="J13" s="62"/>
      <c r="K13" s="63"/>
      <c r="L13" s="64">
        <f t="shared" si="3"/>
        <v>0</v>
      </c>
      <c r="M13" s="62">
        <v>1</v>
      </c>
      <c r="N13" s="106"/>
      <c r="O13" s="64">
        <f t="shared" si="4"/>
        <v>-15.5556</v>
      </c>
      <c r="P13" s="92"/>
      <c r="Q13" s="101"/>
      <c r="R13" s="64">
        <f t="shared" si="5"/>
        <v>0</v>
      </c>
      <c r="S13" s="65"/>
      <c r="T13" s="66"/>
      <c r="U13" s="76">
        <f t="shared" si="0"/>
        <v>-28.643400000000003</v>
      </c>
      <c r="W13" s="86"/>
    </row>
    <row r="14" spans="1:23" ht="12.75">
      <c r="A14" s="2">
        <v>12</v>
      </c>
      <c r="B14" s="79" t="s">
        <v>135</v>
      </c>
      <c r="C14" s="61">
        <f>'2013年6月'!U14</f>
        <v>89.69879999999999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-11.5385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78.16029999999999</v>
      </c>
      <c r="W14" s="86"/>
    </row>
    <row r="15" spans="1:23" ht="12.75">
      <c r="A15" s="2">
        <v>13</v>
      </c>
      <c r="B15" s="80" t="s">
        <v>136</v>
      </c>
      <c r="C15" s="43">
        <f>'2013年6月'!U15</f>
        <v>33.94940000000002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-11.5385</v>
      </c>
      <c r="J15" s="44">
        <v>1</v>
      </c>
      <c r="K15" s="45"/>
      <c r="L15" s="46">
        <f t="shared" si="3"/>
        <v>-16.6667</v>
      </c>
      <c r="M15" s="44"/>
      <c r="N15" s="45"/>
      <c r="O15" s="46">
        <f t="shared" si="4"/>
        <v>0</v>
      </c>
      <c r="P15" s="93">
        <v>1</v>
      </c>
      <c r="Q15" s="102">
        <v>100</v>
      </c>
      <c r="R15" s="46">
        <f t="shared" si="5"/>
        <v>-14.2856</v>
      </c>
      <c r="S15" s="48"/>
      <c r="T15" s="47"/>
      <c r="U15" s="76">
        <f t="shared" si="0"/>
        <v>91.45860000000002</v>
      </c>
      <c r="W15" s="86"/>
    </row>
    <row r="16" spans="1:23" ht="12.75">
      <c r="A16" s="2">
        <v>14</v>
      </c>
      <c r="B16" s="80" t="s">
        <v>137</v>
      </c>
      <c r="C16" s="43">
        <f>'2013年6月'!U16</f>
        <v>-18.2363</v>
      </c>
      <c r="D16" s="44">
        <v>1</v>
      </c>
      <c r="E16" s="45"/>
      <c r="F16" s="46">
        <f t="shared" si="1"/>
        <v>-15.7895</v>
      </c>
      <c r="G16" s="44">
        <v>1</v>
      </c>
      <c r="H16" s="45">
        <v>200</v>
      </c>
      <c r="I16" s="46">
        <f t="shared" si="2"/>
        <v>-11.5385</v>
      </c>
      <c r="J16" s="44">
        <v>1</v>
      </c>
      <c r="K16" s="45"/>
      <c r="L16" s="46">
        <f t="shared" si="3"/>
        <v>-16.6667</v>
      </c>
      <c r="M16" s="44"/>
      <c r="N16" s="45"/>
      <c r="O16" s="46">
        <f t="shared" si="4"/>
        <v>0</v>
      </c>
      <c r="P16" s="93"/>
      <c r="Q16" s="102"/>
      <c r="R16" s="46">
        <f t="shared" si="5"/>
        <v>0</v>
      </c>
      <c r="S16" s="44"/>
      <c r="T16" s="47"/>
      <c r="U16" s="76">
        <f t="shared" si="0"/>
        <v>137.769</v>
      </c>
      <c r="W16" s="86"/>
    </row>
    <row r="17" spans="1:23" ht="12.75">
      <c r="A17" s="2">
        <v>15</v>
      </c>
      <c r="B17" s="80" t="s">
        <v>138</v>
      </c>
      <c r="C17" s="43">
        <f>'2013年6月'!U17</f>
        <v>62.977000000000004</v>
      </c>
      <c r="D17" s="44">
        <v>1</v>
      </c>
      <c r="E17" s="45"/>
      <c r="F17" s="46">
        <f t="shared" si="1"/>
        <v>-15.7895</v>
      </c>
      <c r="G17" s="44">
        <v>1</v>
      </c>
      <c r="H17" s="45"/>
      <c r="I17" s="46">
        <f t="shared" si="2"/>
        <v>-11.5385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/>
      <c r="T17" s="47"/>
      <c r="U17" s="76">
        <f t="shared" si="0"/>
        <v>35.649</v>
      </c>
      <c r="W17" s="86"/>
    </row>
    <row r="18" spans="1:23" ht="12.75">
      <c r="A18" s="2">
        <v>16</v>
      </c>
      <c r="B18" s="77" t="s">
        <v>167</v>
      </c>
      <c r="C18" s="49">
        <f>'2013年6月'!U18</f>
        <v>0</v>
      </c>
      <c r="D18" s="50">
        <v>1</v>
      </c>
      <c r="E18" s="51">
        <v>100</v>
      </c>
      <c r="F18" s="52">
        <f t="shared" si="1"/>
        <v>-15.7895</v>
      </c>
      <c r="G18" s="50">
        <v>1</v>
      </c>
      <c r="H18" s="51"/>
      <c r="I18" s="52">
        <f t="shared" si="2"/>
        <v>-11.5385</v>
      </c>
      <c r="J18" s="50">
        <v>1</v>
      </c>
      <c r="K18" s="51"/>
      <c r="L18" s="52">
        <f t="shared" si="3"/>
        <v>-16.6667</v>
      </c>
      <c r="M18" s="50"/>
      <c r="N18" s="51"/>
      <c r="O18" s="52">
        <f t="shared" si="4"/>
        <v>0</v>
      </c>
      <c r="P18" s="87">
        <v>1</v>
      </c>
      <c r="Q18" s="96"/>
      <c r="R18" s="52">
        <f t="shared" si="5"/>
        <v>-14.2856</v>
      </c>
      <c r="S18" s="50"/>
      <c r="T18" s="53"/>
      <c r="U18" s="76">
        <f t="shared" si="0"/>
        <v>41.719699999999996</v>
      </c>
      <c r="W18" s="86"/>
    </row>
    <row r="19" spans="1:23" ht="12.75">
      <c r="A19" s="2">
        <v>17</v>
      </c>
      <c r="B19" s="77" t="s">
        <v>139</v>
      </c>
      <c r="C19" s="49">
        <f>'2013年6月'!U19</f>
        <v>9.098400000000016</v>
      </c>
      <c r="D19" s="50">
        <v>1</v>
      </c>
      <c r="E19" s="51"/>
      <c r="F19" s="52">
        <f t="shared" si="1"/>
        <v>-15.7895</v>
      </c>
      <c r="G19" s="50">
        <v>1</v>
      </c>
      <c r="H19" s="51">
        <v>100</v>
      </c>
      <c r="I19" s="52">
        <f t="shared" si="2"/>
        <v>-11.5385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-15.5556</v>
      </c>
      <c r="P19" s="87">
        <v>1</v>
      </c>
      <c r="Q19" s="96"/>
      <c r="R19" s="52">
        <f t="shared" si="5"/>
        <v>-14.2856</v>
      </c>
      <c r="S19" s="54"/>
      <c r="T19" s="53"/>
      <c r="U19" s="76">
        <f aca="true" t="shared" si="6" ref="U19:U41">C19+E19+F19+H19+I19+K19+L19+N19+O19+T19+Q19+R19</f>
        <v>35.26250000000003</v>
      </c>
      <c r="W19" s="86"/>
    </row>
    <row r="20" spans="1:23" ht="12.75">
      <c r="A20" s="2">
        <v>18</v>
      </c>
      <c r="B20" s="77" t="s">
        <v>140</v>
      </c>
      <c r="C20" s="49">
        <f>'2013年6月'!U20</f>
        <v>88.1966</v>
      </c>
      <c r="D20" s="50">
        <v>1</v>
      </c>
      <c r="E20" s="51"/>
      <c r="F20" s="52">
        <f t="shared" si="1"/>
        <v>-15.7895</v>
      </c>
      <c r="G20" s="50">
        <v>1</v>
      </c>
      <c r="H20" s="51"/>
      <c r="I20" s="52">
        <f t="shared" si="2"/>
        <v>-11.5385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6"/>
        <v>60.8686</v>
      </c>
      <c r="W20" s="86"/>
    </row>
    <row r="21" spans="1:23" ht="12.75">
      <c r="A21" s="2">
        <v>19</v>
      </c>
      <c r="B21" s="78" t="s">
        <v>169</v>
      </c>
      <c r="C21" s="55">
        <f>'2013年6月'!U21</f>
        <v>0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>
        <v>1</v>
      </c>
      <c r="K21" s="57">
        <v>150</v>
      </c>
      <c r="L21" s="58">
        <f t="shared" si="3"/>
        <v>-16.6667</v>
      </c>
      <c r="M21" s="56">
        <v>1</v>
      </c>
      <c r="N21" s="57"/>
      <c r="O21" s="58">
        <f>-15.5556*M21-10</f>
        <v>-25.5556</v>
      </c>
      <c r="P21" s="89"/>
      <c r="Q21" s="98"/>
      <c r="R21" s="58">
        <f t="shared" si="5"/>
        <v>0</v>
      </c>
      <c r="S21" s="60"/>
      <c r="T21" s="59"/>
      <c r="U21" s="76">
        <f t="shared" si="6"/>
        <v>107.77770000000001</v>
      </c>
      <c r="W21" s="86"/>
    </row>
    <row r="22" spans="1:23" ht="12.75">
      <c r="A22" s="2">
        <v>20</v>
      </c>
      <c r="B22" s="78" t="s">
        <v>141</v>
      </c>
      <c r="C22" s="55">
        <f>'2013年6月'!U22</f>
        <v>39.68489999999998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-14.2856</v>
      </c>
      <c r="S22" s="56"/>
      <c r="T22" s="59"/>
      <c r="U22" s="76">
        <f t="shared" si="6"/>
        <v>25.399299999999975</v>
      </c>
      <c r="W22" s="86"/>
    </row>
    <row r="23" spans="1:23" ht="12.75">
      <c r="A23" s="2">
        <v>21</v>
      </c>
      <c r="B23" s="78" t="s">
        <v>142</v>
      </c>
      <c r="C23" s="55">
        <f>'2013年6月'!U23</f>
        <v>176.4905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-11.5385</v>
      </c>
      <c r="J23" s="56"/>
      <c r="K23" s="57"/>
      <c r="L23" s="58">
        <f t="shared" si="3"/>
        <v>0</v>
      </c>
      <c r="M23" s="56">
        <v>1</v>
      </c>
      <c r="N23" s="57"/>
      <c r="O23" s="58">
        <f t="shared" si="4"/>
        <v>-15.5556</v>
      </c>
      <c r="P23" s="89">
        <v>1</v>
      </c>
      <c r="Q23" s="98"/>
      <c r="R23" s="58">
        <f t="shared" si="5"/>
        <v>-14.2856</v>
      </c>
      <c r="S23" s="60"/>
      <c r="T23" s="59"/>
      <c r="U23" s="76">
        <f t="shared" si="6"/>
        <v>135.1108</v>
      </c>
      <c r="W23" s="86"/>
    </row>
    <row r="24" spans="1:23" ht="12.75">
      <c r="A24" s="2">
        <v>22</v>
      </c>
      <c r="B24" s="81" t="s">
        <v>143</v>
      </c>
      <c r="C24" s="67">
        <f>'2013年6月'!U24</f>
        <v>-6.713499999999982</v>
      </c>
      <c r="D24" s="68"/>
      <c r="E24" s="69"/>
      <c r="F24" s="70">
        <f t="shared" si="1"/>
        <v>0</v>
      </c>
      <c r="G24" s="68">
        <v>1</v>
      </c>
      <c r="H24" s="69">
        <v>200</v>
      </c>
      <c r="I24" s="70">
        <f t="shared" si="2"/>
        <v>-11.5385</v>
      </c>
      <c r="J24" s="68">
        <v>1</v>
      </c>
      <c r="K24" s="69"/>
      <c r="L24" s="70">
        <f t="shared" si="3"/>
        <v>-16.6667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-14.2856</v>
      </c>
      <c r="S24" s="68"/>
      <c r="T24" s="71"/>
      <c r="U24" s="76">
        <f t="shared" si="6"/>
        <v>150.79570000000004</v>
      </c>
      <c r="W24" s="86"/>
    </row>
    <row r="25" spans="1:23" ht="12.75">
      <c r="A25" s="2">
        <v>23</v>
      </c>
      <c r="B25" s="81" t="s">
        <v>144</v>
      </c>
      <c r="C25" s="67">
        <f>'2013年6月'!U25</f>
        <v>31.201</v>
      </c>
      <c r="D25" s="68"/>
      <c r="E25" s="69"/>
      <c r="F25" s="70">
        <f t="shared" si="1"/>
        <v>0</v>
      </c>
      <c r="G25" s="68">
        <v>1</v>
      </c>
      <c r="H25" s="69"/>
      <c r="I25" s="70">
        <f t="shared" si="2"/>
        <v>-11.5385</v>
      </c>
      <c r="J25" s="68">
        <v>1</v>
      </c>
      <c r="K25" s="69"/>
      <c r="L25" s="70">
        <f t="shared" si="3"/>
        <v>-16.6667</v>
      </c>
      <c r="M25" s="68">
        <v>1</v>
      </c>
      <c r="N25" s="69"/>
      <c r="O25" s="70">
        <f t="shared" si="4"/>
        <v>-15.5556</v>
      </c>
      <c r="P25" s="90">
        <v>1</v>
      </c>
      <c r="Q25" s="99"/>
      <c r="R25" s="70">
        <f t="shared" si="5"/>
        <v>-14.2856</v>
      </c>
      <c r="S25" s="68"/>
      <c r="T25" s="71"/>
      <c r="U25" s="76">
        <f t="shared" si="6"/>
        <v>-26.845399999999998</v>
      </c>
      <c r="W25" s="86"/>
    </row>
    <row r="26" spans="1:23" ht="12.75">
      <c r="A26" s="2">
        <v>24</v>
      </c>
      <c r="B26" s="81" t="s">
        <v>145</v>
      </c>
      <c r="C26" s="67">
        <f>'2013年6月'!U26</f>
        <v>-24.654799999999977</v>
      </c>
      <c r="D26" s="68">
        <v>1</v>
      </c>
      <c r="E26" s="69"/>
      <c r="F26" s="70">
        <f t="shared" si="1"/>
        <v>-15.7895</v>
      </c>
      <c r="G26" s="68">
        <v>1</v>
      </c>
      <c r="H26" s="69"/>
      <c r="I26" s="70">
        <f t="shared" si="2"/>
        <v>-11.5385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>
        <v>1</v>
      </c>
      <c r="Q26" s="99">
        <v>200</v>
      </c>
      <c r="R26" s="70">
        <f t="shared" si="5"/>
        <v>-14.2856</v>
      </c>
      <c r="S26" s="72"/>
      <c r="T26" s="71"/>
      <c r="U26" s="76">
        <f t="shared" si="6"/>
        <v>133.73160000000004</v>
      </c>
      <c r="W26" s="86"/>
    </row>
    <row r="27" spans="1:23" ht="12.75">
      <c r="A27" s="2">
        <v>25</v>
      </c>
      <c r="B27" s="79" t="s">
        <v>146</v>
      </c>
      <c r="C27" s="61">
        <f>'2013年6月'!U27</f>
        <v>83.01339999999999</v>
      </c>
      <c r="D27" s="62">
        <v>1</v>
      </c>
      <c r="E27" s="73"/>
      <c r="F27" s="64">
        <f t="shared" si="1"/>
        <v>-15.7895</v>
      </c>
      <c r="G27" s="62">
        <v>1</v>
      </c>
      <c r="H27" s="73"/>
      <c r="I27" s="64">
        <f t="shared" si="2"/>
        <v>-11.5385</v>
      </c>
      <c r="J27" s="62">
        <v>1</v>
      </c>
      <c r="K27" s="73"/>
      <c r="L27" s="64">
        <f t="shared" si="3"/>
        <v>-16.6667</v>
      </c>
      <c r="M27" s="62">
        <v>1</v>
      </c>
      <c r="N27" s="73"/>
      <c r="O27" s="64">
        <f t="shared" si="4"/>
        <v>-15.5556</v>
      </c>
      <c r="P27" s="92">
        <v>1</v>
      </c>
      <c r="Q27" s="101"/>
      <c r="R27" s="64">
        <f t="shared" si="5"/>
        <v>-14.2856</v>
      </c>
      <c r="S27" s="62"/>
      <c r="T27" s="66"/>
      <c r="U27" s="76">
        <f t="shared" si="6"/>
        <v>9.17749999999999</v>
      </c>
      <c r="W27" s="86"/>
    </row>
    <row r="28" spans="1:23" ht="12.75">
      <c r="A28" s="2">
        <v>26</v>
      </c>
      <c r="B28" s="79" t="s">
        <v>147</v>
      </c>
      <c r="C28" s="61">
        <f>'2013年6月'!U28</f>
        <v>234.00130000000004</v>
      </c>
      <c r="D28" s="65">
        <v>1</v>
      </c>
      <c r="E28" s="73"/>
      <c r="F28" s="64">
        <f t="shared" si="1"/>
        <v>-15.7895</v>
      </c>
      <c r="G28" s="65">
        <v>1</v>
      </c>
      <c r="H28" s="73"/>
      <c r="I28" s="64">
        <f t="shared" si="2"/>
        <v>-11.5385</v>
      </c>
      <c r="J28" s="65"/>
      <c r="K28" s="73"/>
      <c r="L28" s="64">
        <f t="shared" si="3"/>
        <v>0</v>
      </c>
      <c r="M28" s="65"/>
      <c r="N28" s="73"/>
      <c r="O28" s="64">
        <f t="shared" si="4"/>
        <v>0</v>
      </c>
      <c r="P28" s="94">
        <v>1</v>
      </c>
      <c r="Q28" s="103"/>
      <c r="R28" s="64">
        <f t="shared" si="5"/>
        <v>-14.2856</v>
      </c>
      <c r="S28" s="65"/>
      <c r="T28" s="66"/>
      <c r="U28" s="76">
        <f t="shared" si="6"/>
        <v>192.38770000000005</v>
      </c>
      <c r="W28" s="86"/>
    </row>
    <row r="29" spans="1:23" ht="12.75">
      <c r="A29" s="2">
        <v>27</v>
      </c>
      <c r="B29" s="79" t="s">
        <v>148</v>
      </c>
      <c r="C29" s="61">
        <f>'2013年6月'!U29</f>
        <v>-0.8943000000000016</v>
      </c>
      <c r="D29" s="62">
        <v>1</v>
      </c>
      <c r="E29" s="63">
        <v>200</v>
      </c>
      <c r="F29" s="64">
        <f t="shared" si="1"/>
        <v>-15.7895</v>
      </c>
      <c r="G29" s="62">
        <v>1</v>
      </c>
      <c r="H29" s="63"/>
      <c r="I29" s="64">
        <f t="shared" si="2"/>
        <v>-11.5385</v>
      </c>
      <c r="J29" s="62">
        <v>1</v>
      </c>
      <c r="K29" s="63"/>
      <c r="L29" s="64">
        <f t="shared" si="3"/>
        <v>-16.6667</v>
      </c>
      <c r="M29" s="62">
        <v>1</v>
      </c>
      <c r="N29" s="63"/>
      <c r="O29" s="64">
        <f t="shared" si="4"/>
        <v>-15.5556</v>
      </c>
      <c r="P29" s="92">
        <v>1</v>
      </c>
      <c r="Q29" s="101"/>
      <c r="R29" s="64">
        <f t="shared" si="5"/>
        <v>-14.2856</v>
      </c>
      <c r="S29" s="62"/>
      <c r="T29" s="66"/>
      <c r="U29" s="76">
        <f t="shared" si="6"/>
        <v>125.26979999999999</v>
      </c>
      <c r="W29" s="86"/>
    </row>
    <row r="30" spans="1:23" ht="12.75">
      <c r="A30" s="2">
        <v>28</v>
      </c>
      <c r="B30" s="80" t="s">
        <v>149</v>
      </c>
      <c r="C30" s="43">
        <f>'2013年6月'!U30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>
        <v>1</v>
      </c>
      <c r="N30" s="74"/>
      <c r="O30" s="46">
        <f t="shared" si="4"/>
        <v>-15.5556</v>
      </c>
      <c r="P30" s="95">
        <v>1</v>
      </c>
      <c r="Q30" s="104">
        <v>200</v>
      </c>
      <c r="R30" s="46">
        <f t="shared" si="5"/>
        <v>-14.2856</v>
      </c>
      <c r="S30" s="48"/>
      <c r="T30" s="47"/>
      <c r="U30" s="76">
        <f t="shared" si="6"/>
        <v>155.13680000000002</v>
      </c>
      <c r="V30" s="28"/>
      <c r="W30" s="86"/>
    </row>
    <row r="31" spans="1:23" ht="12.75">
      <c r="A31" s="2">
        <v>29</v>
      </c>
      <c r="B31" s="80" t="s">
        <v>150</v>
      </c>
      <c r="C31" s="43">
        <f>'2013年6月'!U31</f>
        <v>98.86290000000001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-11.5385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-15.5556</v>
      </c>
      <c r="P31" s="93">
        <v>1</v>
      </c>
      <c r="Q31" s="102"/>
      <c r="R31" s="46">
        <f t="shared" si="5"/>
        <v>-14.2856</v>
      </c>
      <c r="S31" s="44"/>
      <c r="T31" s="47"/>
      <c r="U31" s="76">
        <f t="shared" si="6"/>
        <v>57.48320000000001</v>
      </c>
      <c r="W31" s="86"/>
    </row>
    <row r="32" spans="1:23" ht="12.75">
      <c r="A32" s="2">
        <v>30</v>
      </c>
      <c r="B32" s="80" t="s">
        <v>170</v>
      </c>
      <c r="C32" s="43">
        <f>'2013年6月'!U32</f>
        <v>0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>
        <v>1</v>
      </c>
      <c r="K32" s="74">
        <v>150</v>
      </c>
      <c r="L32" s="46">
        <f t="shared" si="3"/>
        <v>-16.6667</v>
      </c>
      <c r="M32" s="48">
        <v>1</v>
      </c>
      <c r="N32" s="74"/>
      <c r="O32" s="46">
        <f>-15.5556*M32-10</f>
        <v>-25.5556</v>
      </c>
      <c r="P32" s="95"/>
      <c r="Q32" s="104"/>
      <c r="R32" s="46">
        <f t="shared" si="5"/>
        <v>0</v>
      </c>
      <c r="S32" s="48"/>
      <c r="T32" s="47"/>
      <c r="U32" s="76">
        <f t="shared" si="6"/>
        <v>107.77770000000001</v>
      </c>
      <c r="W32" s="86"/>
    </row>
    <row r="33" spans="1:23" ht="12.75">
      <c r="A33" s="2">
        <v>31</v>
      </c>
      <c r="B33" s="77" t="s">
        <v>151</v>
      </c>
      <c r="C33" s="49">
        <f>'2013年6月'!U33</f>
        <v>39.88329999999999</v>
      </c>
      <c r="D33" s="50">
        <v>1</v>
      </c>
      <c r="E33" s="51"/>
      <c r="F33" s="52">
        <f t="shared" si="1"/>
        <v>-15.7895</v>
      </c>
      <c r="G33" s="50">
        <v>1</v>
      </c>
      <c r="H33" s="51"/>
      <c r="I33" s="52">
        <f t="shared" si="2"/>
        <v>-11.5385</v>
      </c>
      <c r="J33" s="50">
        <v>1</v>
      </c>
      <c r="K33" s="51"/>
      <c r="L33" s="52">
        <f t="shared" si="3"/>
        <v>-16.6667</v>
      </c>
      <c r="M33" s="50">
        <v>1</v>
      </c>
      <c r="N33" s="51"/>
      <c r="O33" s="52">
        <f t="shared" si="4"/>
        <v>-15.5556</v>
      </c>
      <c r="P33" s="87">
        <v>1</v>
      </c>
      <c r="Q33" s="96">
        <v>100</v>
      </c>
      <c r="R33" s="52">
        <f t="shared" si="5"/>
        <v>-14.2856</v>
      </c>
      <c r="S33" s="50"/>
      <c r="T33" s="53"/>
      <c r="U33" s="76">
        <f t="shared" si="6"/>
        <v>66.0474</v>
      </c>
      <c r="W33" s="86"/>
    </row>
    <row r="34" spans="1:23" ht="12.75">
      <c r="A34" s="2">
        <v>32</v>
      </c>
      <c r="B34" s="77"/>
      <c r="C34" s="49">
        <f>'2013年6月'!U34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6"/>
        <v>0</v>
      </c>
      <c r="W34" s="86"/>
    </row>
    <row r="35" spans="1:23" ht="12.75">
      <c r="A35" s="2">
        <v>33</v>
      </c>
      <c r="B35" s="77"/>
      <c r="C35" s="49">
        <f>'2013年6月'!U35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6"/>
        <v>0</v>
      </c>
      <c r="W35" s="86"/>
    </row>
    <row r="36" spans="1:23" ht="12.75">
      <c r="A36" s="2">
        <v>34</v>
      </c>
      <c r="B36" s="78" t="s">
        <v>152</v>
      </c>
      <c r="C36" s="55">
        <f>'2013年6月'!U36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6"/>
        <v>3.7033</v>
      </c>
      <c r="W36" s="86"/>
    </row>
    <row r="37" spans="1:23" ht="12.75">
      <c r="A37" s="2">
        <v>35</v>
      </c>
      <c r="B37" s="78" t="s">
        <v>153</v>
      </c>
      <c r="C37" s="55">
        <f>'2013年6月'!U37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6"/>
        <v>56.6317</v>
      </c>
      <c r="V37" s="28"/>
      <c r="W37" s="86"/>
    </row>
    <row r="38" spans="1:23" ht="12.75">
      <c r="A38" s="2">
        <v>36</v>
      </c>
      <c r="B38" s="78"/>
      <c r="C38" s="55">
        <f>'2013年6月'!U38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6"/>
        <v>0</v>
      </c>
      <c r="W38" s="86"/>
    </row>
    <row r="39" spans="1:23" ht="12.75">
      <c r="A39" s="2">
        <v>37</v>
      </c>
      <c r="B39" s="81"/>
      <c r="C39" s="67">
        <f>'2013年6月'!U39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6"/>
        <v>0</v>
      </c>
      <c r="W39" s="86"/>
    </row>
    <row r="40" spans="1:23" ht="12.75">
      <c r="A40" s="2">
        <v>38</v>
      </c>
      <c r="B40" s="81"/>
      <c r="C40" s="67">
        <f>'2013年6月'!U40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6"/>
        <v>0</v>
      </c>
      <c r="W40" s="86"/>
    </row>
    <row r="41" spans="1:23" ht="12.75">
      <c r="A41" s="2">
        <v>39</v>
      </c>
      <c r="B41" s="81"/>
      <c r="C41" s="67">
        <f>'2013年6月'!U41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6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33</v>
      </c>
      <c r="D43" s="1">
        <f>SUM(D3:D41)</f>
        <v>19</v>
      </c>
      <c r="F43" s="1">
        <f>E54/D43</f>
        <v>15.789473684210526</v>
      </c>
      <c r="G43" s="1">
        <f>SUM(G3:G41)</f>
        <v>26</v>
      </c>
      <c r="I43" s="1">
        <f>H54/G43</f>
        <v>11.538461538461538</v>
      </c>
      <c r="J43" s="1">
        <f>SUM(J3:J41)</f>
        <v>18</v>
      </c>
      <c r="L43" s="1">
        <f>K54/J43</f>
        <v>16.666666666666668</v>
      </c>
      <c r="M43" s="1">
        <f>SUM(M3:M41)</f>
        <v>18</v>
      </c>
      <c r="O43" s="1">
        <f>N54/M43</f>
        <v>15.555555555555555</v>
      </c>
      <c r="P43" s="1">
        <f>SUM(P3:P41)</f>
        <v>21</v>
      </c>
      <c r="R43" s="1">
        <f>Q54/P43</f>
        <v>14.285714285714286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154</v>
      </c>
      <c r="F44" s="34" t="s">
        <v>155</v>
      </c>
      <c r="G44" s="33" t="s">
        <v>154</v>
      </c>
      <c r="I44" s="34" t="s">
        <v>155</v>
      </c>
      <c r="J44" s="33" t="s">
        <v>154</v>
      </c>
      <c r="L44" s="34" t="s">
        <v>155</v>
      </c>
      <c r="M44" s="33" t="s">
        <v>154</v>
      </c>
      <c r="O44" s="34" t="s">
        <v>155</v>
      </c>
      <c r="P44" s="33" t="s">
        <v>154</v>
      </c>
      <c r="R44" s="34" t="s">
        <v>155</v>
      </c>
    </row>
    <row r="45" spans="5:21" ht="12.75">
      <c r="E45" s="28" t="s">
        <v>156</v>
      </c>
      <c r="F45" s="1">
        <f>SUM(F3:F41)</f>
        <v>-300.0005</v>
      </c>
      <c r="H45" s="28" t="s">
        <v>156</v>
      </c>
      <c r="I45" s="1">
        <f>SUM(I3:I41)</f>
        <v>-300.00100000000003</v>
      </c>
      <c r="K45" s="28" t="s">
        <v>156</v>
      </c>
      <c r="L45" s="1">
        <f>SUM(L3:L41)</f>
        <v>-300.0005999999999</v>
      </c>
      <c r="N45" s="28" t="s">
        <v>156</v>
      </c>
      <c r="O45" s="1">
        <f>SUM(O3:O41)</f>
        <v>-300.0008</v>
      </c>
      <c r="Q45" s="28" t="s">
        <v>156</v>
      </c>
      <c r="R45" s="1">
        <f>SUM(R3:R41)</f>
        <v>-299.99759999999986</v>
      </c>
      <c r="U45" s="19"/>
    </row>
    <row r="46" spans="2:21" ht="12.75">
      <c r="B46" s="29" t="s">
        <v>157</v>
      </c>
      <c r="C46" s="27">
        <f>SUM(C3:C41)</f>
        <v>2099.9986000000004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2399.9981000000007</v>
      </c>
      <c r="W47" s="86">
        <f>U47</f>
        <v>2399.9981000000007</v>
      </c>
    </row>
    <row r="48" spans="2:20" ht="12.75" customHeight="1">
      <c r="B48" s="86"/>
      <c r="D48" s="117" t="s">
        <v>163</v>
      </c>
      <c r="E48" s="118"/>
      <c r="F48" s="119"/>
      <c r="G48" s="117" t="s">
        <v>164</v>
      </c>
      <c r="H48" s="118"/>
      <c r="I48" s="119"/>
      <c r="J48" s="117" t="s">
        <v>165</v>
      </c>
      <c r="K48" s="118"/>
      <c r="L48" s="119"/>
      <c r="M48" s="117" t="s">
        <v>166</v>
      </c>
      <c r="N48" s="118"/>
      <c r="O48" s="119"/>
      <c r="P48" s="117" t="s">
        <v>168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158</v>
      </c>
      <c r="E54" s="36">
        <f>E56-E72-E81</f>
        <v>300</v>
      </c>
      <c r="F54" s="37"/>
      <c r="G54" s="38" t="s">
        <v>158</v>
      </c>
      <c r="H54" s="36">
        <f>H56-H72-H81</f>
        <v>300</v>
      </c>
      <c r="I54" s="37"/>
      <c r="J54" s="38" t="s">
        <v>158</v>
      </c>
      <c r="K54" s="36">
        <f>K56-K72-K81</f>
        <v>300</v>
      </c>
      <c r="L54" s="37"/>
      <c r="M54" s="38" t="s">
        <v>158</v>
      </c>
      <c r="N54" s="36">
        <f>N56-N72-N81</f>
        <v>280</v>
      </c>
      <c r="O54" s="37"/>
      <c r="P54" s="38" t="s">
        <v>158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159</v>
      </c>
      <c r="E56" s="39">
        <v>300</v>
      </c>
      <c r="F56" s="40"/>
      <c r="G56" s="83" t="s">
        <v>159</v>
      </c>
      <c r="H56" s="39">
        <v>300</v>
      </c>
      <c r="I56" s="40"/>
      <c r="J56" s="83" t="s">
        <v>159</v>
      </c>
      <c r="K56" s="39">
        <v>300</v>
      </c>
      <c r="L56" s="40"/>
      <c r="M56" s="83" t="s">
        <v>159</v>
      </c>
      <c r="N56" s="39">
        <v>300</v>
      </c>
      <c r="O56" s="40"/>
      <c r="P56" s="83" t="s">
        <v>159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 t="s">
        <v>172</v>
      </c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 t="s">
        <v>171</v>
      </c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160</v>
      </c>
      <c r="E68" s="112"/>
      <c r="G68" s="111" t="s">
        <v>160</v>
      </c>
      <c r="H68" s="112"/>
      <c r="J68" s="111" t="s">
        <v>160</v>
      </c>
      <c r="K68" s="112"/>
      <c r="M68" s="111" t="s">
        <v>160</v>
      </c>
      <c r="N68" s="112"/>
      <c r="P68" s="111" t="s">
        <v>160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 t="s">
        <v>169</v>
      </c>
      <c r="M70" s="28" t="s">
        <v>169</v>
      </c>
      <c r="N70" s="28">
        <v>10</v>
      </c>
      <c r="P70" s="28"/>
    </row>
    <row r="71" spans="4:16" ht="12.75">
      <c r="D71" s="28"/>
      <c r="G71" s="28"/>
      <c r="J71" s="28" t="s">
        <v>170</v>
      </c>
      <c r="M71" s="28" t="s">
        <v>170</v>
      </c>
      <c r="N71" s="28">
        <v>10</v>
      </c>
      <c r="P71" s="28"/>
    </row>
    <row r="72" spans="5:17" ht="12.75">
      <c r="E72" s="28"/>
      <c r="H72" s="28"/>
      <c r="J72" s="28"/>
      <c r="K72" s="107"/>
      <c r="N72" s="28">
        <f>SUM(N70:N71)</f>
        <v>20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161</v>
      </c>
      <c r="E75" s="112"/>
      <c r="G75" s="111" t="s">
        <v>161</v>
      </c>
      <c r="H75" s="112"/>
      <c r="J75" s="111" t="s">
        <v>161</v>
      </c>
      <c r="K75" s="112"/>
      <c r="M75" s="111" t="s">
        <v>161</v>
      </c>
      <c r="N75" s="112"/>
      <c r="P75" s="111" t="s">
        <v>161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15" t="s">
        <v>162</v>
      </c>
      <c r="E83" s="115"/>
      <c r="F83" s="115"/>
      <c r="G83" s="115" t="s">
        <v>162</v>
      </c>
      <c r="H83" s="115"/>
      <c r="I83" s="115"/>
      <c r="J83" s="115" t="s">
        <v>162</v>
      </c>
      <c r="K83" s="115"/>
      <c r="L83" s="115"/>
      <c r="M83" s="115" t="s">
        <v>162</v>
      </c>
      <c r="N83" s="115"/>
      <c r="O83" s="115"/>
      <c r="P83" s="115" t="s">
        <v>162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158</v>
      </c>
      <c r="E90" s="112"/>
      <c r="F90" s="112"/>
      <c r="G90" s="114" t="s">
        <v>158</v>
      </c>
      <c r="H90" s="112"/>
      <c r="I90" s="112"/>
      <c r="J90" s="114" t="s">
        <v>158</v>
      </c>
      <c r="K90" s="112"/>
      <c r="L90" s="112"/>
      <c r="M90" s="114" t="s">
        <v>158</v>
      </c>
      <c r="N90" s="112"/>
      <c r="O90" s="112"/>
      <c r="P90" s="114" t="s">
        <v>158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41518</v>
      </c>
      <c r="E1" s="126"/>
      <c r="F1" s="127"/>
      <c r="G1" s="16"/>
      <c r="H1" s="24">
        <v>41525</v>
      </c>
      <c r="I1" s="17"/>
      <c r="J1" s="30"/>
      <c r="K1" s="24">
        <v>41532</v>
      </c>
      <c r="L1" s="31"/>
      <c r="M1" s="16"/>
      <c r="N1" s="24">
        <v>41538</v>
      </c>
      <c r="O1" s="17"/>
      <c r="P1" s="16"/>
      <c r="Q1" s="24">
        <v>41553</v>
      </c>
      <c r="R1" s="17"/>
      <c r="S1" s="128" t="s">
        <v>126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'2013年7月'!U3</f>
        <v>69.1803</v>
      </c>
      <c r="D3" s="50">
        <v>1</v>
      </c>
      <c r="E3" s="51"/>
      <c r="F3" s="52">
        <f>-15*D3</f>
        <v>-15</v>
      </c>
      <c r="G3" s="50">
        <v>1</v>
      </c>
      <c r="H3" s="51"/>
      <c r="I3" s="52">
        <f>-10.3448*G3</f>
        <v>-10.3448</v>
      </c>
      <c r="J3" s="50"/>
      <c r="K3" s="51"/>
      <c r="L3" s="52">
        <f>-10.926*J3</f>
        <v>0</v>
      </c>
      <c r="M3" s="50"/>
      <c r="N3" s="51"/>
      <c r="O3" s="52">
        <f>-17.647*M3</f>
        <v>0</v>
      </c>
      <c r="P3" s="87"/>
      <c r="Q3" s="96"/>
      <c r="R3" s="52">
        <f>-20*P3</f>
        <v>0</v>
      </c>
      <c r="S3" s="50"/>
      <c r="T3" s="53"/>
      <c r="U3" s="76">
        <f aca="true" t="shared" si="0" ref="U3:U41">C3+E3+F3+H3+I3+K3+L3+N3+O3+T3+Q3+R3</f>
        <v>43.8355</v>
      </c>
      <c r="W3" s="86"/>
    </row>
    <row r="4" spans="1:23" ht="12.75">
      <c r="A4" s="2">
        <v>2</v>
      </c>
      <c r="B4" s="75" t="s">
        <v>3</v>
      </c>
      <c r="C4" s="49">
        <f>'2013年7月'!U4</f>
        <v>165.06940000000003</v>
      </c>
      <c r="D4" s="50">
        <v>1</v>
      </c>
      <c r="E4" s="51"/>
      <c r="F4" s="52">
        <f aca="true" t="shared" si="1" ref="F4:F41">-15*D4</f>
        <v>-15</v>
      </c>
      <c r="G4" s="50">
        <v>1</v>
      </c>
      <c r="H4" s="51"/>
      <c r="I4" s="52">
        <f aca="true" t="shared" si="2" ref="I4:I41">-10.3448*G4</f>
        <v>-10.3448</v>
      </c>
      <c r="J4" s="50">
        <v>1</v>
      </c>
      <c r="K4" s="51"/>
      <c r="L4" s="52">
        <f aca="true" t="shared" si="3" ref="L4:L41">-10.926*J4</f>
        <v>-10.926</v>
      </c>
      <c r="M4" s="50">
        <v>1</v>
      </c>
      <c r="N4" s="51"/>
      <c r="O4" s="52">
        <f aca="true" t="shared" si="4" ref="O4:O41">-17.647*M4</f>
        <v>-17.647</v>
      </c>
      <c r="P4" s="87"/>
      <c r="Q4" s="96"/>
      <c r="R4" s="52">
        <f aca="true" t="shared" si="5" ref="R4:R41">-20*P4</f>
        <v>0</v>
      </c>
      <c r="S4" s="54"/>
      <c r="T4" s="53"/>
      <c r="U4" s="76">
        <f t="shared" si="0"/>
        <v>111.15160000000006</v>
      </c>
      <c r="W4" s="86"/>
    </row>
    <row r="5" spans="1:23" ht="12.75">
      <c r="A5" s="2">
        <v>3</v>
      </c>
      <c r="B5" s="77" t="s">
        <v>127</v>
      </c>
      <c r="C5" s="49">
        <f>'2013年7月'!U5</f>
        <v>22.89699999999999</v>
      </c>
      <c r="D5" s="50">
        <v>1</v>
      </c>
      <c r="E5" s="51"/>
      <c r="F5" s="52">
        <f t="shared" si="1"/>
        <v>-15</v>
      </c>
      <c r="G5" s="50">
        <v>1</v>
      </c>
      <c r="H5" s="51"/>
      <c r="I5" s="52">
        <f t="shared" si="2"/>
        <v>-10.3448</v>
      </c>
      <c r="J5" s="50">
        <v>1</v>
      </c>
      <c r="K5" s="51"/>
      <c r="L5" s="52">
        <f t="shared" si="3"/>
        <v>-10.926</v>
      </c>
      <c r="M5" s="50">
        <v>1</v>
      </c>
      <c r="N5" s="51"/>
      <c r="O5" s="52">
        <f t="shared" si="4"/>
        <v>-17.647</v>
      </c>
      <c r="P5" s="87">
        <v>1</v>
      </c>
      <c r="Q5" s="96"/>
      <c r="R5" s="52">
        <f t="shared" si="5"/>
        <v>-20</v>
      </c>
      <c r="S5" s="50"/>
      <c r="T5" s="53"/>
      <c r="U5" s="76">
        <f t="shared" si="0"/>
        <v>-51.02080000000001</v>
      </c>
      <c r="W5" s="86"/>
    </row>
    <row r="6" spans="1:23" ht="12.75">
      <c r="A6" s="2">
        <v>4</v>
      </c>
      <c r="B6" s="110">
        <v>9631</v>
      </c>
      <c r="C6" s="55">
        <f>'2013年7月'!U6</f>
        <v>26.58639999999997</v>
      </c>
      <c r="D6" s="60">
        <v>1</v>
      </c>
      <c r="E6" s="57"/>
      <c r="F6" s="58">
        <f t="shared" si="1"/>
        <v>-15</v>
      </c>
      <c r="G6" s="60">
        <v>1</v>
      </c>
      <c r="H6" s="57"/>
      <c r="I6" s="58">
        <f t="shared" si="2"/>
        <v>-10.3448</v>
      </c>
      <c r="J6" s="60">
        <v>1</v>
      </c>
      <c r="K6" s="57">
        <v>100</v>
      </c>
      <c r="L6" s="58">
        <f t="shared" si="3"/>
        <v>-10.926</v>
      </c>
      <c r="M6" s="60">
        <v>1</v>
      </c>
      <c r="N6" s="57"/>
      <c r="O6" s="58">
        <f t="shared" si="4"/>
        <v>-17.647</v>
      </c>
      <c r="P6" s="88">
        <v>1</v>
      </c>
      <c r="Q6" s="97"/>
      <c r="R6" s="58">
        <f t="shared" si="5"/>
        <v>-20</v>
      </c>
      <c r="S6" s="60"/>
      <c r="T6" s="59"/>
      <c r="U6" s="76">
        <f t="shared" si="0"/>
        <v>52.66859999999997</v>
      </c>
      <c r="W6" s="86"/>
    </row>
    <row r="7" spans="1:23" ht="12.75">
      <c r="A7" s="2">
        <v>5</v>
      </c>
      <c r="B7" s="78" t="s">
        <v>128</v>
      </c>
      <c r="C7" s="55">
        <f>'2013年7月'!U7</f>
        <v>109.21520000000001</v>
      </c>
      <c r="D7" s="56">
        <v>1</v>
      </c>
      <c r="E7" s="57"/>
      <c r="F7" s="58">
        <f t="shared" si="1"/>
        <v>-15</v>
      </c>
      <c r="G7" s="56">
        <v>1</v>
      </c>
      <c r="H7" s="57"/>
      <c r="I7" s="58">
        <f t="shared" si="2"/>
        <v>-10.3448</v>
      </c>
      <c r="J7" s="56">
        <v>1</v>
      </c>
      <c r="K7" s="57"/>
      <c r="L7" s="58">
        <f t="shared" si="3"/>
        <v>-10.926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-20</v>
      </c>
      <c r="S7" s="56"/>
      <c r="T7" s="59"/>
      <c r="U7" s="76">
        <f t="shared" si="0"/>
        <v>52.944400000000016</v>
      </c>
      <c r="W7" s="86"/>
    </row>
    <row r="8" spans="1:23" ht="12.75">
      <c r="A8" s="2">
        <v>6</v>
      </c>
      <c r="B8" s="78" t="s">
        <v>129</v>
      </c>
      <c r="C8" s="55">
        <f>'2013年7月'!U8</f>
        <v>33.91570000000004</v>
      </c>
      <c r="D8" s="56">
        <v>1</v>
      </c>
      <c r="E8" s="57"/>
      <c r="F8" s="58">
        <f t="shared" si="1"/>
        <v>-15</v>
      </c>
      <c r="G8" s="56">
        <v>1</v>
      </c>
      <c r="H8" s="57"/>
      <c r="I8" s="58">
        <f t="shared" si="2"/>
        <v>-10.3448</v>
      </c>
      <c r="J8" s="56">
        <v>1</v>
      </c>
      <c r="K8" s="57"/>
      <c r="L8" s="58">
        <f t="shared" si="3"/>
        <v>-10.926</v>
      </c>
      <c r="M8" s="56">
        <v>1</v>
      </c>
      <c r="N8" s="57"/>
      <c r="O8" s="58">
        <f t="shared" si="4"/>
        <v>-17.647</v>
      </c>
      <c r="P8" s="89"/>
      <c r="Q8" s="98"/>
      <c r="R8" s="58">
        <f t="shared" si="5"/>
        <v>0</v>
      </c>
      <c r="S8" s="60"/>
      <c r="T8" s="59"/>
      <c r="U8" s="76">
        <f t="shared" si="0"/>
        <v>-20.002099999999963</v>
      </c>
      <c r="W8" s="86"/>
    </row>
    <row r="9" spans="1:23" ht="12.75">
      <c r="A9" s="2">
        <v>7</v>
      </c>
      <c r="B9" s="109" t="s">
        <v>130</v>
      </c>
      <c r="C9" s="67">
        <f>'2013年7月'!U9</f>
        <v>25.519799999999996</v>
      </c>
      <c r="D9" s="68">
        <v>1</v>
      </c>
      <c r="E9" s="69"/>
      <c r="F9" s="70">
        <f t="shared" si="1"/>
        <v>-15</v>
      </c>
      <c r="G9" s="68">
        <v>1</v>
      </c>
      <c r="H9" s="69"/>
      <c r="I9" s="70">
        <f t="shared" si="2"/>
        <v>-10.3448</v>
      </c>
      <c r="J9" s="68">
        <v>1</v>
      </c>
      <c r="K9" s="69"/>
      <c r="L9" s="70">
        <f t="shared" si="3"/>
        <v>-10.926</v>
      </c>
      <c r="M9" s="68">
        <v>1</v>
      </c>
      <c r="N9" s="69"/>
      <c r="O9" s="70">
        <f t="shared" si="4"/>
        <v>-17.647</v>
      </c>
      <c r="P9" s="90">
        <v>1</v>
      </c>
      <c r="Q9" s="99"/>
      <c r="R9" s="70">
        <f t="shared" si="5"/>
        <v>-20</v>
      </c>
      <c r="S9" s="68"/>
      <c r="T9" s="71"/>
      <c r="U9" s="76">
        <f t="shared" si="0"/>
        <v>-48.398</v>
      </c>
      <c r="W9" s="86"/>
    </row>
    <row r="10" spans="1:23" ht="12.75">
      <c r="A10" s="2">
        <v>8</v>
      </c>
      <c r="B10" s="81" t="s">
        <v>131</v>
      </c>
      <c r="C10" s="67">
        <f>'2013年7月'!U10</f>
        <v>8.128600000000072</v>
      </c>
      <c r="D10" s="72">
        <v>1</v>
      </c>
      <c r="E10" s="69">
        <v>200</v>
      </c>
      <c r="F10" s="70">
        <f t="shared" si="1"/>
        <v>-15</v>
      </c>
      <c r="G10" s="72">
        <v>1</v>
      </c>
      <c r="H10" s="69"/>
      <c r="I10" s="70">
        <f t="shared" si="2"/>
        <v>-10.3448</v>
      </c>
      <c r="J10" s="72">
        <v>1</v>
      </c>
      <c r="K10" s="69"/>
      <c r="L10" s="70">
        <f t="shared" si="3"/>
        <v>-10.926</v>
      </c>
      <c r="M10" s="72">
        <v>1</v>
      </c>
      <c r="N10" s="69"/>
      <c r="O10" s="70">
        <f t="shared" si="4"/>
        <v>-17.647</v>
      </c>
      <c r="P10" s="91">
        <v>1</v>
      </c>
      <c r="Q10" s="100"/>
      <c r="R10" s="70">
        <f t="shared" si="5"/>
        <v>-20</v>
      </c>
      <c r="S10" s="72"/>
      <c r="T10" s="71"/>
      <c r="U10" s="76">
        <f t="shared" si="0"/>
        <v>134.2108000000001</v>
      </c>
      <c r="W10" s="86"/>
    </row>
    <row r="11" spans="1:23" ht="12.75">
      <c r="A11" s="2">
        <v>9</v>
      </c>
      <c r="B11" s="109" t="s">
        <v>132</v>
      </c>
      <c r="C11" s="67">
        <f>'2013年7月'!U11</f>
        <v>176.20860000000002</v>
      </c>
      <c r="D11" s="68">
        <v>1</v>
      </c>
      <c r="E11" s="69"/>
      <c r="F11" s="70">
        <f t="shared" si="1"/>
        <v>-15</v>
      </c>
      <c r="G11" s="68">
        <v>1</v>
      </c>
      <c r="H11" s="69"/>
      <c r="I11" s="70">
        <f t="shared" si="2"/>
        <v>-10.3448</v>
      </c>
      <c r="J11" s="68">
        <v>1</v>
      </c>
      <c r="K11" s="69"/>
      <c r="L11" s="70">
        <f t="shared" si="3"/>
        <v>-10.926</v>
      </c>
      <c r="M11" s="68">
        <v>1</v>
      </c>
      <c r="N11" s="69"/>
      <c r="O11" s="70">
        <f t="shared" si="4"/>
        <v>-17.647</v>
      </c>
      <c r="P11" s="90">
        <v>1</v>
      </c>
      <c r="Q11" s="99"/>
      <c r="R11" s="70">
        <f t="shared" si="5"/>
        <v>-20</v>
      </c>
      <c r="S11" s="68"/>
      <c r="T11" s="71"/>
      <c r="U11" s="76">
        <f t="shared" si="0"/>
        <v>102.29080000000005</v>
      </c>
      <c r="W11" s="86"/>
    </row>
    <row r="12" spans="1:23" ht="12.75">
      <c r="A12" s="2">
        <v>10</v>
      </c>
      <c r="B12" s="79" t="s">
        <v>133</v>
      </c>
      <c r="C12" s="61">
        <f>'2013年7月'!U12</f>
        <v>11.447999999999988</v>
      </c>
      <c r="D12" s="62"/>
      <c r="E12" s="63"/>
      <c r="F12" s="64">
        <f t="shared" si="1"/>
        <v>0</v>
      </c>
      <c r="G12" s="62">
        <v>1</v>
      </c>
      <c r="H12" s="63"/>
      <c r="I12" s="64">
        <f t="shared" si="2"/>
        <v>-10.3448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/>
      <c r="T12" s="66"/>
      <c r="U12" s="76">
        <f t="shared" si="0"/>
        <v>1.1031999999999886</v>
      </c>
      <c r="W12" s="86"/>
    </row>
    <row r="13" spans="1:23" ht="12.75">
      <c r="A13" s="2">
        <v>11</v>
      </c>
      <c r="B13" s="79" t="s">
        <v>134</v>
      </c>
      <c r="C13" s="61">
        <f>'2013年7月'!U13</f>
        <v>-28.643400000000003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-10.3448</v>
      </c>
      <c r="J13" s="62">
        <v>1</v>
      </c>
      <c r="K13" s="63"/>
      <c r="L13" s="64">
        <f t="shared" si="3"/>
        <v>-10.926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-20</v>
      </c>
      <c r="S13" s="65"/>
      <c r="T13" s="66"/>
      <c r="U13" s="76">
        <f t="shared" si="0"/>
        <v>-69.91420000000001</v>
      </c>
      <c r="W13" s="86"/>
    </row>
    <row r="14" spans="1:23" ht="12.75">
      <c r="A14" s="2">
        <v>12</v>
      </c>
      <c r="B14" s="79" t="s">
        <v>135</v>
      </c>
      <c r="C14" s="61">
        <f>'2013年7月'!U14</f>
        <v>78.16029999999999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-10.3448</v>
      </c>
      <c r="J14" s="62">
        <v>1</v>
      </c>
      <c r="K14" s="63"/>
      <c r="L14" s="64">
        <f t="shared" si="3"/>
        <v>-10.926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56.889499999999984</v>
      </c>
      <c r="W14" s="86"/>
    </row>
    <row r="15" spans="1:23" ht="12.75">
      <c r="A15" s="2">
        <v>13</v>
      </c>
      <c r="B15" s="80" t="s">
        <v>136</v>
      </c>
      <c r="C15" s="43">
        <f>'2013年7月'!U15</f>
        <v>91.45860000000002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-10.3448</v>
      </c>
      <c r="J15" s="44">
        <v>1</v>
      </c>
      <c r="K15" s="45"/>
      <c r="L15" s="46">
        <f t="shared" si="3"/>
        <v>-10.926</v>
      </c>
      <c r="M15" s="44">
        <v>1</v>
      </c>
      <c r="N15" s="45"/>
      <c r="O15" s="46">
        <f t="shared" si="4"/>
        <v>-17.647</v>
      </c>
      <c r="P15" s="93">
        <v>1</v>
      </c>
      <c r="Q15" s="102"/>
      <c r="R15" s="46">
        <f t="shared" si="5"/>
        <v>-20</v>
      </c>
      <c r="S15" s="48"/>
      <c r="T15" s="47"/>
      <c r="U15" s="76">
        <f t="shared" si="0"/>
        <v>32.540800000000026</v>
      </c>
      <c r="W15" s="86"/>
    </row>
    <row r="16" spans="1:23" ht="12.75">
      <c r="A16" s="2">
        <v>14</v>
      </c>
      <c r="B16" s="80" t="s">
        <v>137</v>
      </c>
      <c r="C16" s="43">
        <f>'2013年7月'!U16</f>
        <v>137.769</v>
      </c>
      <c r="D16" s="44">
        <v>1</v>
      </c>
      <c r="E16" s="45"/>
      <c r="F16" s="46">
        <f t="shared" si="1"/>
        <v>-15</v>
      </c>
      <c r="G16" s="44">
        <v>1</v>
      </c>
      <c r="H16" s="45"/>
      <c r="I16" s="46">
        <f t="shared" si="2"/>
        <v>-10.3448</v>
      </c>
      <c r="J16" s="44">
        <v>1</v>
      </c>
      <c r="K16" s="45"/>
      <c r="L16" s="46">
        <f t="shared" si="3"/>
        <v>-10.926</v>
      </c>
      <c r="M16" s="44">
        <v>1</v>
      </c>
      <c r="N16" s="45"/>
      <c r="O16" s="46">
        <f t="shared" si="4"/>
        <v>-17.647</v>
      </c>
      <c r="P16" s="93">
        <v>1</v>
      </c>
      <c r="Q16" s="102"/>
      <c r="R16" s="46">
        <f t="shared" si="5"/>
        <v>-20</v>
      </c>
      <c r="S16" s="44"/>
      <c r="T16" s="47"/>
      <c r="U16" s="76">
        <f t="shared" si="0"/>
        <v>63.851200000000006</v>
      </c>
      <c r="W16" s="86"/>
    </row>
    <row r="17" spans="1:23" ht="12.75">
      <c r="A17" s="2">
        <v>15</v>
      </c>
      <c r="B17" s="80" t="s">
        <v>138</v>
      </c>
      <c r="C17" s="43">
        <f>'2013年7月'!U17</f>
        <v>35.649</v>
      </c>
      <c r="D17" s="44">
        <v>1</v>
      </c>
      <c r="E17" s="45"/>
      <c r="F17" s="46">
        <f t="shared" si="1"/>
        <v>-15</v>
      </c>
      <c r="G17" s="44">
        <v>1</v>
      </c>
      <c r="H17" s="45"/>
      <c r="I17" s="46">
        <f t="shared" si="2"/>
        <v>-10.3448</v>
      </c>
      <c r="J17" s="44">
        <v>1</v>
      </c>
      <c r="K17" s="45"/>
      <c r="L17" s="46">
        <f t="shared" si="3"/>
        <v>-10.926</v>
      </c>
      <c r="M17" s="44">
        <v>1</v>
      </c>
      <c r="N17" s="45">
        <v>200</v>
      </c>
      <c r="O17" s="46">
        <f t="shared" si="4"/>
        <v>-17.647</v>
      </c>
      <c r="P17" s="93"/>
      <c r="Q17" s="102"/>
      <c r="R17" s="46">
        <f t="shared" si="5"/>
        <v>0</v>
      </c>
      <c r="S17" s="48"/>
      <c r="T17" s="47"/>
      <c r="U17" s="76">
        <f t="shared" si="0"/>
        <v>181.7312</v>
      </c>
      <c r="W17" s="86"/>
    </row>
    <row r="18" spans="1:23" ht="12.75">
      <c r="A18" s="2">
        <v>16</v>
      </c>
      <c r="B18" s="77" t="s">
        <v>173</v>
      </c>
      <c r="C18" s="49">
        <f>'2013年7月'!U18</f>
        <v>41.719699999999996</v>
      </c>
      <c r="D18" s="50">
        <v>1</v>
      </c>
      <c r="E18" s="51"/>
      <c r="F18" s="52">
        <f t="shared" si="1"/>
        <v>-15</v>
      </c>
      <c r="G18" s="50">
        <v>1</v>
      </c>
      <c r="H18" s="51"/>
      <c r="I18" s="52">
        <f t="shared" si="2"/>
        <v>-10.3448</v>
      </c>
      <c r="J18" s="50">
        <v>1</v>
      </c>
      <c r="K18" s="51"/>
      <c r="L18" s="52">
        <f t="shared" si="3"/>
        <v>-10.926</v>
      </c>
      <c r="M18" s="50"/>
      <c r="N18" s="51"/>
      <c r="O18" s="52">
        <f t="shared" si="4"/>
        <v>0</v>
      </c>
      <c r="P18" s="87">
        <v>1</v>
      </c>
      <c r="Q18" s="96"/>
      <c r="R18" s="52">
        <f t="shared" si="5"/>
        <v>-20</v>
      </c>
      <c r="S18" s="50"/>
      <c r="T18" s="53"/>
      <c r="U18" s="76">
        <f t="shared" si="0"/>
        <v>-14.551100000000003</v>
      </c>
      <c r="W18" s="86"/>
    </row>
    <row r="19" spans="1:23" ht="12.75">
      <c r="A19" s="2">
        <v>17</v>
      </c>
      <c r="B19" s="77" t="s">
        <v>139</v>
      </c>
      <c r="C19" s="49">
        <f>'2013年7月'!U19</f>
        <v>35.26250000000003</v>
      </c>
      <c r="D19" s="50">
        <v>1</v>
      </c>
      <c r="E19" s="51"/>
      <c r="F19" s="52">
        <f t="shared" si="1"/>
        <v>-15</v>
      </c>
      <c r="G19" s="50">
        <v>1</v>
      </c>
      <c r="H19" s="51"/>
      <c r="I19" s="52">
        <f t="shared" si="2"/>
        <v>-10.3448</v>
      </c>
      <c r="J19" s="50">
        <v>1</v>
      </c>
      <c r="K19" s="51"/>
      <c r="L19" s="52">
        <f t="shared" si="3"/>
        <v>-10.926</v>
      </c>
      <c r="M19" s="50">
        <v>1</v>
      </c>
      <c r="N19" s="51">
        <v>100</v>
      </c>
      <c r="O19" s="52">
        <f t="shared" si="4"/>
        <v>-17.647</v>
      </c>
      <c r="P19" s="87">
        <v>1</v>
      </c>
      <c r="Q19" s="96"/>
      <c r="R19" s="52">
        <f t="shared" si="5"/>
        <v>-20</v>
      </c>
      <c r="S19" s="54"/>
      <c r="T19" s="53"/>
      <c r="U19" s="76">
        <f t="shared" si="0"/>
        <v>61.344700000000046</v>
      </c>
      <c r="W19" s="86"/>
    </row>
    <row r="20" spans="1:23" ht="12.75">
      <c r="A20" s="2">
        <v>18</v>
      </c>
      <c r="B20" s="77" t="s">
        <v>140</v>
      </c>
      <c r="C20" s="49">
        <f>'2013年7月'!U20</f>
        <v>60.8686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-10.3448</v>
      </c>
      <c r="J20" s="50">
        <v>1</v>
      </c>
      <c r="K20" s="51"/>
      <c r="L20" s="52">
        <f t="shared" si="3"/>
        <v>-10.926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39.5978</v>
      </c>
      <c r="W20" s="86"/>
    </row>
    <row r="21" spans="1:23" ht="12.75">
      <c r="A21" s="2">
        <v>19</v>
      </c>
      <c r="B21" s="78" t="s">
        <v>174</v>
      </c>
      <c r="C21" s="55">
        <f>'2013年7月'!U21</f>
        <v>107.77770000000001</v>
      </c>
      <c r="D21" s="56">
        <v>1</v>
      </c>
      <c r="E21" s="57"/>
      <c r="F21" s="58">
        <f t="shared" si="1"/>
        <v>-15</v>
      </c>
      <c r="G21" s="56">
        <v>1</v>
      </c>
      <c r="H21" s="57"/>
      <c r="I21" s="58">
        <f t="shared" si="2"/>
        <v>-10.3448</v>
      </c>
      <c r="J21" s="56">
        <v>1</v>
      </c>
      <c r="K21" s="57"/>
      <c r="L21" s="58">
        <f>-10.926*J21-5</f>
        <v>-15.926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66.50690000000002</v>
      </c>
      <c r="W21" s="86"/>
    </row>
    <row r="22" spans="1:23" ht="12.75">
      <c r="A22" s="2">
        <v>20</v>
      </c>
      <c r="B22" s="78" t="s">
        <v>141</v>
      </c>
      <c r="C22" s="55">
        <f>'2013年7月'!U22</f>
        <v>25.399299999999975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/>
      <c r="U22" s="76">
        <f t="shared" si="0"/>
        <v>25.399299999999975</v>
      </c>
      <c r="W22" s="86"/>
    </row>
    <row r="23" spans="1:23" ht="12.75">
      <c r="A23" s="2">
        <v>21</v>
      </c>
      <c r="B23" s="78" t="s">
        <v>142</v>
      </c>
      <c r="C23" s="55">
        <f>'2013年7月'!U23</f>
        <v>135.1108</v>
      </c>
      <c r="D23" s="56">
        <v>1</v>
      </c>
      <c r="E23" s="57"/>
      <c r="F23" s="58">
        <f t="shared" si="1"/>
        <v>-15</v>
      </c>
      <c r="G23" s="56">
        <v>1</v>
      </c>
      <c r="H23" s="57"/>
      <c r="I23" s="58">
        <f t="shared" si="2"/>
        <v>-10.3448</v>
      </c>
      <c r="J23" s="56">
        <v>1</v>
      </c>
      <c r="K23" s="57"/>
      <c r="L23" s="58">
        <f t="shared" si="3"/>
        <v>-10.926</v>
      </c>
      <c r="M23" s="56">
        <v>1</v>
      </c>
      <c r="N23" s="57"/>
      <c r="O23" s="58">
        <f t="shared" si="4"/>
        <v>-17.647</v>
      </c>
      <c r="P23" s="89">
        <v>1</v>
      </c>
      <c r="Q23" s="98"/>
      <c r="R23" s="58">
        <f t="shared" si="5"/>
        <v>-20</v>
      </c>
      <c r="S23" s="60"/>
      <c r="T23" s="59"/>
      <c r="U23" s="76">
        <f t="shared" si="0"/>
        <v>61.19300000000001</v>
      </c>
      <c r="W23" s="86"/>
    </row>
    <row r="24" spans="1:23" ht="12.75">
      <c r="A24" s="2">
        <v>22</v>
      </c>
      <c r="B24" s="81" t="s">
        <v>143</v>
      </c>
      <c r="C24" s="67">
        <f>'2013年7月'!U24</f>
        <v>150.79570000000004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-10.3448</v>
      </c>
      <c r="J24" s="68">
        <v>1</v>
      </c>
      <c r="K24" s="69"/>
      <c r="L24" s="70">
        <f t="shared" si="3"/>
        <v>-10.926</v>
      </c>
      <c r="M24" s="68"/>
      <c r="N24" s="69"/>
      <c r="O24" s="70">
        <f t="shared" si="4"/>
        <v>0</v>
      </c>
      <c r="P24" s="90"/>
      <c r="Q24" s="99"/>
      <c r="R24" s="70">
        <f t="shared" si="5"/>
        <v>0</v>
      </c>
      <c r="S24" s="68"/>
      <c r="T24" s="71"/>
      <c r="U24" s="76">
        <f t="shared" si="0"/>
        <v>129.52490000000006</v>
      </c>
      <c r="W24" s="86"/>
    </row>
    <row r="25" spans="1:23" ht="12.75">
      <c r="A25" s="2">
        <v>23</v>
      </c>
      <c r="B25" s="81" t="s">
        <v>144</v>
      </c>
      <c r="C25" s="67">
        <f>'2013年7月'!U25</f>
        <v>-26.845399999999998</v>
      </c>
      <c r="D25" s="68"/>
      <c r="E25" s="69"/>
      <c r="F25" s="70">
        <f t="shared" si="1"/>
        <v>0</v>
      </c>
      <c r="G25" s="68">
        <v>1</v>
      </c>
      <c r="H25" s="69"/>
      <c r="I25" s="70">
        <f t="shared" si="2"/>
        <v>-10.3448</v>
      </c>
      <c r="J25" s="68">
        <v>1</v>
      </c>
      <c r="K25" s="69"/>
      <c r="L25" s="70">
        <f t="shared" si="3"/>
        <v>-10.926</v>
      </c>
      <c r="M25" s="68">
        <v>1</v>
      </c>
      <c r="N25" s="69">
        <v>200</v>
      </c>
      <c r="O25" s="70">
        <f t="shared" si="4"/>
        <v>-17.647</v>
      </c>
      <c r="P25" s="90"/>
      <c r="Q25" s="99"/>
      <c r="R25" s="70">
        <f t="shared" si="5"/>
        <v>0</v>
      </c>
      <c r="S25" s="68"/>
      <c r="T25" s="71"/>
      <c r="U25" s="76">
        <f t="shared" si="0"/>
        <v>134.23680000000002</v>
      </c>
      <c r="W25" s="86"/>
    </row>
    <row r="26" spans="1:23" ht="12.75">
      <c r="A26" s="2">
        <v>24</v>
      </c>
      <c r="B26" s="81" t="s">
        <v>145</v>
      </c>
      <c r="C26" s="67">
        <f>'2013年7月'!U26</f>
        <v>133.73160000000004</v>
      </c>
      <c r="D26" s="68">
        <v>1</v>
      </c>
      <c r="E26" s="69"/>
      <c r="F26" s="70">
        <f t="shared" si="1"/>
        <v>-15</v>
      </c>
      <c r="G26" s="68">
        <v>1</v>
      </c>
      <c r="H26" s="69"/>
      <c r="I26" s="70">
        <f t="shared" si="2"/>
        <v>-10.3448</v>
      </c>
      <c r="J26" s="68">
        <v>1</v>
      </c>
      <c r="K26" s="69"/>
      <c r="L26" s="70">
        <f t="shared" si="3"/>
        <v>-10.926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97.46080000000005</v>
      </c>
      <c r="W26" s="86"/>
    </row>
    <row r="27" spans="1:23" ht="12.75">
      <c r="A27" s="2">
        <v>25</v>
      </c>
      <c r="B27" s="79" t="s">
        <v>146</v>
      </c>
      <c r="C27" s="61">
        <f>'2013年7月'!U27</f>
        <v>9.17749999999999</v>
      </c>
      <c r="D27" s="62">
        <v>1</v>
      </c>
      <c r="E27" s="73"/>
      <c r="F27" s="64">
        <f t="shared" si="1"/>
        <v>-15</v>
      </c>
      <c r="G27" s="62">
        <v>1</v>
      </c>
      <c r="H27" s="73"/>
      <c r="I27" s="64">
        <f t="shared" si="2"/>
        <v>-10.3448</v>
      </c>
      <c r="J27" s="62">
        <v>1</v>
      </c>
      <c r="K27" s="73"/>
      <c r="L27" s="64">
        <f t="shared" si="3"/>
        <v>-10.926</v>
      </c>
      <c r="M27" s="62">
        <v>1</v>
      </c>
      <c r="N27" s="73"/>
      <c r="O27" s="64">
        <f t="shared" si="4"/>
        <v>-17.647</v>
      </c>
      <c r="P27" s="92">
        <v>1</v>
      </c>
      <c r="Q27" s="101"/>
      <c r="R27" s="64">
        <f t="shared" si="5"/>
        <v>-20</v>
      </c>
      <c r="S27" s="62"/>
      <c r="T27" s="66"/>
      <c r="U27" s="76">
        <f t="shared" si="0"/>
        <v>-64.74030000000002</v>
      </c>
      <c r="W27" s="86"/>
    </row>
    <row r="28" spans="1:23" ht="12.75">
      <c r="A28" s="2">
        <v>26</v>
      </c>
      <c r="B28" s="79" t="s">
        <v>147</v>
      </c>
      <c r="C28" s="61">
        <f>'2013年7月'!U28</f>
        <v>192.38770000000005</v>
      </c>
      <c r="D28" s="65"/>
      <c r="E28" s="73"/>
      <c r="F28" s="64">
        <f t="shared" si="1"/>
        <v>0</v>
      </c>
      <c r="G28" s="65">
        <v>1</v>
      </c>
      <c r="H28" s="73"/>
      <c r="I28" s="64">
        <f t="shared" si="2"/>
        <v>-10.3448</v>
      </c>
      <c r="J28" s="65">
        <v>1</v>
      </c>
      <c r="K28" s="73"/>
      <c r="L28" s="64">
        <f t="shared" si="3"/>
        <v>-10.926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/>
      <c r="T28" s="66"/>
      <c r="U28" s="76">
        <f t="shared" si="0"/>
        <v>171.11690000000007</v>
      </c>
      <c r="W28" s="86"/>
    </row>
    <row r="29" spans="1:23" ht="12.75">
      <c r="A29" s="2">
        <v>27</v>
      </c>
      <c r="B29" s="79" t="s">
        <v>148</v>
      </c>
      <c r="C29" s="61">
        <f>'2013年7月'!U29</f>
        <v>125.26979999999999</v>
      </c>
      <c r="D29" s="62">
        <v>1</v>
      </c>
      <c r="E29" s="63"/>
      <c r="F29" s="64">
        <f t="shared" si="1"/>
        <v>-15</v>
      </c>
      <c r="G29" s="62">
        <v>1</v>
      </c>
      <c r="H29" s="63"/>
      <c r="I29" s="64">
        <f t="shared" si="2"/>
        <v>-10.3448</v>
      </c>
      <c r="J29" s="62">
        <v>1</v>
      </c>
      <c r="K29" s="63"/>
      <c r="L29" s="64">
        <f t="shared" si="3"/>
        <v>-10.926</v>
      </c>
      <c r="M29" s="62"/>
      <c r="N29" s="63"/>
      <c r="O29" s="64">
        <f t="shared" si="4"/>
        <v>0</v>
      </c>
      <c r="P29" s="92">
        <v>1</v>
      </c>
      <c r="Q29" s="101"/>
      <c r="R29" s="64">
        <f t="shared" si="5"/>
        <v>-20</v>
      </c>
      <c r="S29" s="62"/>
      <c r="T29" s="66"/>
      <c r="U29" s="76">
        <f t="shared" si="0"/>
        <v>68.99899999999998</v>
      </c>
      <c r="W29" s="86"/>
    </row>
    <row r="30" spans="1:23" ht="12.75">
      <c r="A30" s="2">
        <v>28</v>
      </c>
      <c r="B30" s="80" t="s">
        <v>149</v>
      </c>
      <c r="C30" s="43">
        <f>'2013年7月'!U30</f>
        <v>155.13680000000002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155.13680000000002</v>
      </c>
      <c r="V30" s="28"/>
      <c r="W30" s="86"/>
    </row>
    <row r="31" spans="1:23" ht="12.75">
      <c r="A31" s="2">
        <v>29</v>
      </c>
      <c r="B31" s="80" t="s">
        <v>150</v>
      </c>
      <c r="C31" s="43">
        <f>'2013年7月'!U31</f>
        <v>57.48320000000001</v>
      </c>
      <c r="D31" s="44">
        <v>1</v>
      </c>
      <c r="E31" s="74"/>
      <c r="F31" s="46">
        <f t="shared" si="1"/>
        <v>-15</v>
      </c>
      <c r="G31" s="44">
        <v>1</v>
      </c>
      <c r="H31" s="74"/>
      <c r="I31" s="46">
        <f t="shared" si="2"/>
        <v>-10.3448</v>
      </c>
      <c r="J31" s="44">
        <v>1</v>
      </c>
      <c r="K31" s="74"/>
      <c r="L31" s="46">
        <f t="shared" si="3"/>
        <v>-10.926</v>
      </c>
      <c r="M31" s="44">
        <v>1</v>
      </c>
      <c r="N31" s="74"/>
      <c r="O31" s="46">
        <f t="shared" si="4"/>
        <v>-17.647</v>
      </c>
      <c r="P31" s="93"/>
      <c r="Q31" s="102"/>
      <c r="R31" s="46">
        <f t="shared" si="5"/>
        <v>0</v>
      </c>
      <c r="S31" s="44"/>
      <c r="T31" s="47"/>
      <c r="U31" s="76">
        <f t="shared" si="0"/>
        <v>3.565400000000011</v>
      </c>
      <c r="W31" s="86"/>
    </row>
    <row r="32" spans="1:23" ht="12.75">
      <c r="A32" s="2">
        <v>30</v>
      </c>
      <c r="B32" s="80" t="s">
        <v>175</v>
      </c>
      <c r="C32" s="43">
        <f>'2013年7月'!U32</f>
        <v>107.77770000000001</v>
      </c>
      <c r="D32" s="48"/>
      <c r="E32" s="74"/>
      <c r="F32" s="46">
        <f t="shared" si="1"/>
        <v>0</v>
      </c>
      <c r="G32" s="48">
        <v>1</v>
      </c>
      <c r="H32" s="74"/>
      <c r="I32" s="46">
        <f t="shared" si="2"/>
        <v>-10.3448</v>
      </c>
      <c r="J32" s="48">
        <v>1</v>
      </c>
      <c r="K32" s="74"/>
      <c r="L32" s="46">
        <f t="shared" si="3"/>
        <v>-10.926</v>
      </c>
      <c r="M32" s="48">
        <v>1</v>
      </c>
      <c r="N32" s="74"/>
      <c r="O32" s="46">
        <f t="shared" si="4"/>
        <v>-17.647</v>
      </c>
      <c r="P32" s="95"/>
      <c r="Q32" s="104"/>
      <c r="R32" s="46">
        <f t="shared" si="5"/>
        <v>0</v>
      </c>
      <c r="S32" s="48"/>
      <c r="T32" s="47"/>
      <c r="U32" s="76">
        <f t="shared" si="0"/>
        <v>68.85990000000001</v>
      </c>
      <c r="W32" s="86"/>
    </row>
    <row r="33" spans="1:23" ht="12.75">
      <c r="A33" s="2">
        <v>31</v>
      </c>
      <c r="B33" s="77" t="s">
        <v>151</v>
      </c>
      <c r="C33" s="49">
        <f>'2013年7月'!U33</f>
        <v>66.0474</v>
      </c>
      <c r="D33" s="50">
        <v>1</v>
      </c>
      <c r="E33" s="51"/>
      <c r="F33" s="52">
        <f t="shared" si="1"/>
        <v>-15</v>
      </c>
      <c r="G33" s="50">
        <v>1</v>
      </c>
      <c r="H33" s="51"/>
      <c r="I33" s="52">
        <f t="shared" si="2"/>
        <v>-10.3448</v>
      </c>
      <c r="J33" s="50">
        <v>1</v>
      </c>
      <c r="K33" s="51"/>
      <c r="L33" s="52">
        <f t="shared" si="3"/>
        <v>-10.926</v>
      </c>
      <c r="M33" s="50">
        <v>1</v>
      </c>
      <c r="N33" s="51"/>
      <c r="O33" s="52">
        <f t="shared" si="4"/>
        <v>-17.647</v>
      </c>
      <c r="P33" s="87">
        <v>1</v>
      </c>
      <c r="Q33" s="96"/>
      <c r="R33" s="52">
        <f t="shared" si="5"/>
        <v>-20</v>
      </c>
      <c r="S33" s="50"/>
      <c r="T33" s="53"/>
      <c r="U33" s="76">
        <f t="shared" si="0"/>
        <v>-7.870400000000004</v>
      </c>
      <c r="W33" s="86"/>
    </row>
    <row r="34" spans="1:23" ht="12.75">
      <c r="A34" s="2">
        <v>32</v>
      </c>
      <c r="B34" s="77"/>
      <c r="C34" s="49">
        <f>'2013年7月'!U34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'2013年7月'!U35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152</v>
      </c>
      <c r="C36" s="55">
        <f>'2013年7月'!U36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 t="s">
        <v>153</v>
      </c>
      <c r="C37" s="55">
        <f>'2013年7月'!U37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/>
      <c r="C38" s="55">
        <f>'2013年7月'!U38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'2013年7月'!U39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'2013年7月'!U40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'2013年7月'!U41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33</v>
      </c>
      <c r="D43" s="1">
        <f>SUM(D3:D41)</f>
        <v>20</v>
      </c>
      <c r="F43" s="1">
        <f>E54/D43</f>
        <v>15</v>
      </c>
      <c r="G43" s="1">
        <f>SUM(G3:G41)</f>
        <v>29</v>
      </c>
      <c r="I43" s="1">
        <f>H54/G43</f>
        <v>10.344827586206897</v>
      </c>
      <c r="J43" s="1">
        <f>SUM(J3:J41)</f>
        <v>27</v>
      </c>
      <c r="L43" s="1">
        <f>K54/J43</f>
        <v>10.925925925925926</v>
      </c>
      <c r="M43" s="1">
        <f>SUM(M3:M41)</f>
        <v>17</v>
      </c>
      <c r="O43" s="1">
        <f>N54/M43</f>
        <v>17.647058823529413</v>
      </c>
      <c r="P43" s="1">
        <f>SUM(P3:P41)</f>
        <v>15</v>
      </c>
      <c r="R43" s="1">
        <f>Q54/P43</f>
        <v>20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154</v>
      </c>
      <c r="F44" s="34" t="s">
        <v>155</v>
      </c>
      <c r="G44" s="33" t="s">
        <v>154</v>
      </c>
      <c r="I44" s="34" t="s">
        <v>155</v>
      </c>
      <c r="J44" s="33" t="s">
        <v>154</v>
      </c>
      <c r="L44" s="34" t="s">
        <v>155</v>
      </c>
      <c r="M44" s="33" t="s">
        <v>154</v>
      </c>
      <c r="O44" s="34" t="s">
        <v>155</v>
      </c>
      <c r="P44" s="33" t="s">
        <v>154</v>
      </c>
      <c r="R44" s="34" t="s">
        <v>155</v>
      </c>
    </row>
    <row r="45" spans="5:21" ht="12.75">
      <c r="E45" s="28" t="s">
        <v>156</v>
      </c>
      <c r="F45" s="1">
        <f>SUM(F3:F41)</f>
        <v>-300</v>
      </c>
      <c r="H45" s="28" t="s">
        <v>156</v>
      </c>
      <c r="I45" s="1">
        <f>SUM(I3:I41)</f>
        <v>-299.9992</v>
      </c>
      <c r="K45" s="28" t="s">
        <v>156</v>
      </c>
      <c r="L45" s="1">
        <f>SUM(L3:L41)</f>
        <v>-300.00199999999984</v>
      </c>
      <c r="N45" s="28" t="s">
        <v>156</v>
      </c>
      <c r="O45" s="1">
        <f>SUM(O3:O41)</f>
        <v>-299.9989999999999</v>
      </c>
      <c r="Q45" s="28" t="s">
        <v>156</v>
      </c>
      <c r="R45" s="1">
        <f>SUM(R3:R41)</f>
        <v>-300</v>
      </c>
      <c r="U45" s="19"/>
    </row>
    <row r="46" spans="2:21" ht="12.75">
      <c r="B46" s="29" t="s">
        <v>157</v>
      </c>
      <c r="C46" s="27">
        <f>SUM(C3:C41)</f>
        <v>2399.9981000000007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1699.9979</v>
      </c>
      <c r="W47" s="86">
        <f>U47</f>
        <v>1699.9979</v>
      </c>
    </row>
    <row r="48" spans="2:20" ht="12.75" customHeight="1">
      <c r="B48" s="86"/>
      <c r="D48" s="117" t="s">
        <v>176</v>
      </c>
      <c r="E48" s="118"/>
      <c r="F48" s="119"/>
      <c r="G48" s="117" t="s">
        <v>177</v>
      </c>
      <c r="H48" s="118"/>
      <c r="I48" s="119"/>
      <c r="J48" s="117" t="s">
        <v>178</v>
      </c>
      <c r="K48" s="118"/>
      <c r="L48" s="119"/>
      <c r="M48" s="117" t="s">
        <v>180</v>
      </c>
      <c r="N48" s="118"/>
      <c r="O48" s="119"/>
      <c r="P48" s="117" t="s">
        <v>181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158</v>
      </c>
      <c r="E54" s="36">
        <f>E56-E72-E81</f>
        <v>300</v>
      </c>
      <c r="F54" s="37"/>
      <c r="G54" s="38" t="s">
        <v>158</v>
      </c>
      <c r="H54" s="36">
        <f>H56-H72-H81</f>
        <v>300</v>
      </c>
      <c r="I54" s="37"/>
      <c r="J54" s="38" t="s">
        <v>158</v>
      </c>
      <c r="K54" s="36">
        <f>K56-K72-K81</f>
        <v>295</v>
      </c>
      <c r="L54" s="37"/>
      <c r="M54" s="38" t="s">
        <v>158</v>
      </c>
      <c r="N54" s="36">
        <f>N56-N72-N81</f>
        <v>300</v>
      </c>
      <c r="O54" s="37"/>
      <c r="P54" s="38" t="s">
        <v>158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159</v>
      </c>
      <c r="E56" s="39">
        <v>300</v>
      </c>
      <c r="F56" s="40"/>
      <c r="G56" s="83" t="s">
        <v>159</v>
      </c>
      <c r="H56" s="39">
        <v>300</v>
      </c>
      <c r="I56" s="40"/>
      <c r="J56" s="83" t="s">
        <v>159</v>
      </c>
      <c r="K56" s="39">
        <v>300</v>
      </c>
      <c r="L56" s="40"/>
      <c r="M56" s="83" t="s">
        <v>159</v>
      </c>
      <c r="N56" s="39">
        <v>300</v>
      </c>
      <c r="O56" s="40"/>
      <c r="P56" s="83" t="s">
        <v>159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160</v>
      </c>
      <c r="E68" s="112"/>
      <c r="G68" s="111" t="s">
        <v>160</v>
      </c>
      <c r="H68" s="112"/>
      <c r="J68" s="111" t="s">
        <v>160</v>
      </c>
      <c r="K68" s="112"/>
      <c r="M68" s="111" t="s">
        <v>160</v>
      </c>
      <c r="N68" s="112"/>
      <c r="P68" s="111" t="s">
        <v>160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161</v>
      </c>
      <c r="E75" s="112"/>
      <c r="G75" s="111" t="s">
        <v>161</v>
      </c>
      <c r="H75" s="112"/>
      <c r="J75" s="111" t="s">
        <v>161</v>
      </c>
      <c r="K75" s="112"/>
      <c r="M75" s="111" t="s">
        <v>161</v>
      </c>
      <c r="N75" s="112"/>
      <c r="P75" s="111" t="s">
        <v>161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 t="s">
        <v>169</v>
      </c>
      <c r="K77" s="28">
        <v>5</v>
      </c>
      <c r="M77" s="105"/>
      <c r="P77" s="105"/>
    </row>
    <row r="81" spans="7:11" ht="12.75">
      <c r="G81" s="28"/>
      <c r="K81" s="1">
        <f>SUM(K77:K80)</f>
        <v>5</v>
      </c>
    </row>
    <row r="83" spans="4:18" ht="12.75" customHeight="1">
      <c r="D83" s="115" t="s">
        <v>162</v>
      </c>
      <c r="E83" s="115"/>
      <c r="F83" s="115"/>
      <c r="G83" s="115" t="s">
        <v>162</v>
      </c>
      <c r="H83" s="115"/>
      <c r="I83" s="115"/>
      <c r="J83" s="115" t="s">
        <v>162</v>
      </c>
      <c r="K83" s="115"/>
      <c r="L83" s="115"/>
      <c r="M83" s="115" t="s">
        <v>162</v>
      </c>
      <c r="N83" s="115"/>
      <c r="O83" s="115"/>
      <c r="P83" s="115" t="s">
        <v>162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 t="s">
        <v>179</v>
      </c>
      <c r="E87" s="28"/>
      <c r="F87" s="42"/>
      <c r="G87" s="82" t="s">
        <v>69</v>
      </c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158</v>
      </c>
      <c r="E90" s="112"/>
      <c r="F90" s="112"/>
      <c r="G90" s="114" t="s">
        <v>158</v>
      </c>
      <c r="H90" s="112"/>
      <c r="I90" s="112"/>
      <c r="J90" s="114" t="s">
        <v>158</v>
      </c>
      <c r="K90" s="112"/>
      <c r="L90" s="112"/>
      <c r="M90" s="114" t="s">
        <v>158</v>
      </c>
      <c r="N90" s="112"/>
      <c r="O90" s="112"/>
      <c r="P90" s="114" t="s">
        <v>158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41560</v>
      </c>
      <c r="E1" s="126"/>
      <c r="F1" s="127"/>
      <c r="G1" s="16"/>
      <c r="H1" s="24">
        <v>41567</v>
      </c>
      <c r="I1" s="17"/>
      <c r="J1" s="30"/>
      <c r="K1" s="24">
        <v>41574</v>
      </c>
      <c r="L1" s="31"/>
      <c r="M1" s="16"/>
      <c r="N1" s="24">
        <v>41581</v>
      </c>
      <c r="O1" s="17"/>
      <c r="P1" s="16"/>
      <c r="Q1" s="24">
        <v>41588</v>
      </c>
      <c r="R1" s="17"/>
      <c r="S1" s="128" t="s">
        <v>194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'2013年9月'!U3</f>
        <v>43.8355</v>
      </c>
      <c r="D3" s="50"/>
      <c r="E3" s="51"/>
      <c r="F3" s="52">
        <f>-16.6667*D3</f>
        <v>0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-16.1115*J3</f>
        <v>-16.1115</v>
      </c>
      <c r="M3" s="50">
        <v>1</v>
      </c>
      <c r="N3" s="51"/>
      <c r="O3" s="52">
        <f>-16.3889*M3</f>
        <v>-16.3889</v>
      </c>
      <c r="P3" s="87">
        <v>1</v>
      </c>
      <c r="Q3" s="96">
        <v>130</v>
      </c>
      <c r="R3" s="52">
        <f>-16.6667*P3</f>
        <v>-16.6667</v>
      </c>
      <c r="S3" s="50"/>
      <c r="T3" s="53">
        <f>-3.7142</f>
        <v>-3.7142</v>
      </c>
      <c r="U3" s="76">
        <f aca="true" t="shared" si="0" ref="U3:U41">C3+E3+F3+H3+I3+K3+L3+N3+O3+T3+Q3+R3</f>
        <v>105.95420000000001</v>
      </c>
      <c r="W3" s="86"/>
    </row>
    <row r="4" spans="1:23" ht="12.75">
      <c r="A4" s="2">
        <v>2</v>
      </c>
      <c r="B4" s="75" t="s">
        <v>3</v>
      </c>
      <c r="C4" s="49">
        <f>'2013年9月'!U4</f>
        <v>111.15160000000006</v>
      </c>
      <c r="D4" s="50"/>
      <c r="E4" s="51"/>
      <c r="F4" s="52">
        <f aca="true" t="shared" si="1" ref="F4:F41">-16.6667*D4</f>
        <v>0</v>
      </c>
      <c r="G4" s="50">
        <v>1</v>
      </c>
      <c r="H4" s="51"/>
      <c r="I4" s="52">
        <f aca="true" t="shared" si="2" ref="I4:I41">-15*G4</f>
        <v>-15</v>
      </c>
      <c r="J4" s="50">
        <v>1</v>
      </c>
      <c r="K4" s="51"/>
      <c r="L4" s="52">
        <f>-16.1115*J4-5</f>
        <v>-21.1115</v>
      </c>
      <c r="M4" s="50">
        <v>1</v>
      </c>
      <c r="N4" s="51"/>
      <c r="O4" s="52">
        <f aca="true" t="shared" si="3" ref="O4:O41">-16.3889*M4</f>
        <v>-16.3889</v>
      </c>
      <c r="P4" s="87">
        <v>1</v>
      </c>
      <c r="Q4" s="96"/>
      <c r="R4" s="52">
        <f aca="true" t="shared" si="4" ref="R4:R41">-16.6667*P4</f>
        <v>-16.6667</v>
      </c>
      <c r="S4" s="54"/>
      <c r="T4" s="53">
        <f aca="true" t="shared" si="5" ref="T4:T38">-3.7142</f>
        <v>-3.7142</v>
      </c>
      <c r="U4" s="76">
        <f t="shared" si="0"/>
        <v>38.270300000000056</v>
      </c>
      <c r="W4" s="86"/>
    </row>
    <row r="5" spans="1:23" ht="12.75">
      <c r="A5" s="2">
        <v>3</v>
      </c>
      <c r="B5" s="77" t="s">
        <v>58</v>
      </c>
      <c r="C5" s="49">
        <f>'2013年9月'!U5</f>
        <v>-51.02080000000001</v>
      </c>
      <c r="D5" s="50">
        <v>1</v>
      </c>
      <c r="E5" s="51"/>
      <c r="F5" s="52">
        <f t="shared" si="1"/>
        <v>-16.6667</v>
      </c>
      <c r="G5" s="50"/>
      <c r="H5" s="51"/>
      <c r="I5" s="52">
        <f t="shared" si="2"/>
        <v>0</v>
      </c>
      <c r="J5" s="50">
        <v>1</v>
      </c>
      <c r="K5" s="51">
        <v>200</v>
      </c>
      <c r="L5" s="52">
        <f aca="true" t="shared" si="6" ref="L5:L41">-16.1115*J5</f>
        <v>-16.1115</v>
      </c>
      <c r="M5" s="50">
        <v>1</v>
      </c>
      <c r="N5" s="51"/>
      <c r="O5" s="52">
        <f t="shared" si="3"/>
        <v>-16.3889</v>
      </c>
      <c r="P5" s="87">
        <v>1</v>
      </c>
      <c r="Q5" s="96"/>
      <c r="R5" s="52">
        <f t="shared" si="4"/>
        <v>-16.6667</v>
      </c>
      <c r="S5" s="50"/>
      <c r="T5" s="53">
        <f t="shared" si="5"/>
        <v>-3.7142</v>
      </c>
      <c r="U5" s="76">
        <f t="shared" si="0"/>
        <v>79.43119999999999</v>
      </c>
      <c r="W5" s="86"/>
    </row>
    <row r="6" spans="1:23" ht="12.75">
      <c r="A6" s="2">
        <v>4</v>
      </c>
      <c r="B6" s="110">
        <v>9631</v>
      </c>
      <c r="C6" s="55">
        <f>'2013年9月'!U6</f>
        <v>52.66859999999997</v>
      </c>
      <c r="D6" s="60">
        <v>1</v>
      </c>
      <c r="E6" s="57"/>
      <c r="F6" s="58">
        <f t="shared" si="1"/>
        <v>-16.6667</v>
      </c>
      <c r="G6" s="60"/>
      <c r="H6" s="57"/>
      <c r="I6" s="58">
        <f t="shared" si="2"/>
        <v>0</v>
      </c>
      <c r="J6" s="60">
        <v>1</v>
      </c>
      <c r="K6" s="57"/>
      <c r="L6" s="58">
        <f t="shared" si="6"/>
        <v>-16.1115</v>
      </c>
      <c r="M6" s="60"/>
      <c r="N6" s="57"/>
      <c r="O6" s="58">
        <f t="shared" si="3"/>
        <v>0</v>
      </c>
      <c r="P6" s="88">
        <v>1</v>
      </c>
      <c r="Q6" s="97"/>
      <c r="R6" s="58">
        <f t="shared" si="4"/>
        <v>-16.6667</v>
      </c>
      <c r="S6" s="60"/>
      <c r="T6" s="59">
        <f t="shared" si="5"/>
        <v>-3.7142</v>
      </c>
      <c r="U6" s="76">
        <f t="shared" si="0"/>
        <v>-0.4905000000000257</v>
      </c>
      <c r="W6" s="86"/>
    </row>
    <row r="7" spans="1:23" ht="12.75">
      <c r="A7" s="2">
        <v>5</v>
      </c>
      <c r="B7" s="78" t="s">
        <v>95</v>
      </c>
      <c r="C7" s="55">
        <f>'2013年9月'!U7</f>
        <v>52.944400000000016</v>
      </c>
      <c r="D7" s="56">
        <v>1</v>
      </c>
      <c r="E7" s="57"/>
      <c r="F7" s="58">
        <f t="shared" si="1"/>
        <v>-16.6667</v>
      </c>
      <c r="G7" s="56"/>
      <c r="H7" s="57"/>
      <c r="I7" s="58">
        <f t="shared" si="2"/>
        <v>0</v>
      </c>
      <c r="J7" s="56">
        <v>1</v>
      </c>
      <c r="K7" s="57"/>
      <c r="L7" s="58">
        <f t="shared" si="6"/>
        <v>-16.1115</v>
      </c>
      <c r="M7" s="56"/>
      <c r="N7" s="57"/>
      <c r="O7" s="58">
        <f t="shared" si="3"/>
        <v>0</v>
      </c>
      <c r="P7" s="89">
        <v>1</v>
      </c>
      <c r="Q7" s="98"/>
      <c r="R7" s="58">
        <f t="shared" si="4"/>
        <v>-16.6667</v>
      </c>
      <c r="S7" s="56"/>
      <c r="T7" s="59">
        <f t="shared" si="5"/>
        <v>-3.7142</v>
      </c>
      <c r="U7" s="76">
        <f t="shared" si="0"/>
        <v>-0.21469999999997924</v>
      </c>
      <c r="W7" s="86"/>
    </row>
    <row r="8" spans="1:23" ht="12.75">
      <c r="A8" s="2">
        <v>6</v>
      </c>
      <c r="B8" s="78" t="s">
        <v>60</v>
      </c>
      <c r="C8" s="55">
        <f>'2013年9月'!U8</f>
        <v>-20.002099999999963</v>
      </c>
      <c r="D8" s="56">
        <v>1</v>
      </c>
      <c r="E8" s="57"/>
      <c r="F8" s="58">
        <f t="shared" si="1"/>
        <v>-16.6667</v>
      </c>
      <c r="G8" s="56">
        <v>1</v>
      </c>
      <c r="H8" s="57">
        <v>200</v>
      </c>
      <c r="I8" s="58">
        <f t="shared" si="2"/>
        <v>-15</v>
      </c>
      <c r="J8" s="56"/>
      <c r="K8" s="57"/>
      <c r="L8" s="58">
        <f t="shared" si="6"/>
        <v>0</v>
      </c>
      <c r="M8" s="56">
        <v>1</v>
      </c>
      <c r="N8" s="57"/>
      <c r="O8" s="58">
        <f t="shared" si="3"/>
        <v>-16.3889</v>
      </c>
      <c r="P8" s="89">
        <v>1</v>
      </c>
      <c r="Q8" s="98"/>
      <c r="R8" s="58">
        <f t="shared" si="4"/>
        <v>-16.6667</v>
      </c>
      <c r="S8" s="60"/>
      <c r="T8" s="59">
        <f t="shared" si="5"/>
        <v>-3.7142</v>
      </c>
      <c r="U8" s="76">
        <f t="shared" si="0"/>
        <v>111.56140000000002</v>
      </c>
      <c r="W8" s="86"/>
    </row>
    <row r="9" spans="1:23" ht="12.75">
      <c r="A9" s="2">
        <v>7</v>
      </c>
      <c r="B9" s="109" t="s">
        <v>61</v>
      </c>
      <c r="C9" s="67">
        <f>'2013年9月'!U9</f>
        <v>-48.398</v>
      </c>
      <c r="D9" s="68">
        <v>1</v>
      </c>
      <c r="E9" s="69"/>
      <c r="F9" s="70">
        <f t="shared" si="1"/>
        <v>-16.6667</v>
      </c>
      <c r="G9" s="68">
        <v>1</v>
      </c>
      <c r="H9" s="69">
        <v>200</v>
      </c>
      <c r="I9" s="70">
        <f t="shared" si="2"/>
        <v>-15</v>
      </c>
      <c r="J9" s="68"/>
      <c r="K9" s="69"/>
      <c r="L9" s="70">
        <f t="shared" si="6"/>
        <v>0</v>
      </c>
      <c r="M9" s="68"/>
      <c r="N9" s="69"/>
      <c r="O9" s="70">
        <f t="shared" si="3"/>
        <v>0</v>
      </c>
      <c r="P9" s="90">
        <v>1</v>
      </c>
      <c r="Q9" s="99"/>
      <c r="R9" s="70">
        <f t="shared" si="4"/>
        <v>-16.6667</v>
      </c>
      <c r="S9" s="68"/>
      <c r="T9" s="71">
        <f t="shared" si="5"/>
        <v>-3.7142</v>
      </c>
      <c r="U9" s="76">
        <f t="shared" si="0"/>
        <v>99.55439999999999</v>
      </c>
      <c r="W9" s="86"/>
    </row>
    <row r="10" spans="1:23" ht="12.75">
      <c r="A10" s="2">
        <v>8</v>
      </c>
      <c r="B10" s="81" t="s">
        <v>96</v>
      </c>
      <c r="C10" s="67">
        <f>'2013年9月'!U10</f>
        <v>134.2108000000001</v>
      </c>
      <c r="D10" s="72">
        <v>1</v>
      </c>
      <c r="E10" s="69"/>
      <c r="F10" s="70">
        <f t="shared" si="1"/>
        <v>-16.6667</v>
      </c>
      <c r="G10" s="72"/>
      <c r="H10" s="69"/>
      <c r="I10" s="70">
        <f t="shared" si="2"/>
        <v>0</v>
      </c>
      <c r="J10" s="72">
        <v>1</v>
      </c>
      <c r="K10" s="69"/>
      <c r="L10" s="70">
        <f>-16.1115*J10-10</f>
        <v>-26.1115</v>
      </c>
      <c r="M10" s="72">
        <v>1</v>
      </c>
      <c r="N10" s="69"/>
      <c r="O10" s="70">
        <f t="shared" si="3"/>
        <v>-16.3889</v>
      </c>
      <c r="P10" s="91"/>
      <c r="Q10" s="100"/>
      <c r="R10" s="70">
        <f t="shared" si="4"/>
        <v>0</v>
      </c>
      <c r="S10" s="72"/>
      <c r="T10" s="71">
        <f t="shared" si="5"/>
        <v>-3.7142</v>
      </c>
      <c r="U10" s="76">
        <f t="shared" si="0"/>
        <v>71.32950000000008</v>
      </c>
      <c r="W10" s="86"/>
    </row>
    <row r="11" spans="1:23" ht="12.75">
      <c r="A11" s="2">
        <v>9</v>
      </c>
      <c r="B11" s="109" t="s">
        <v>63</v>
      </c>
      <c r="C11" s="67">
        <f>'2013年9月'!U11</f>
        <v>102.29080000000005</v>
      </c>
      <c r="D11" s="68">
        <v>1</v>
      </c>
      <c r="E11" s="69"/>
      <c r="F11" s="70">
        <f t="shared" si="1"/>
        <v>-16.6667</v>
      </c>
      <c r="G11" s="68">
        <v>1</v>
      </c>
      <c r="H11" s="69"/>
      <c r="I11" s="70">
        <f t="shared" si="2"/>
        <v>-15</v>
      </c>
      <c r="J11" s="68">
        <v>1</v>
      </c>
      <c r="K11" s="69"/>
      <c r="L11" s="70">
        <f t="shared" si="6"/>
        <v>-16.1115</v>
      </c>
      <c r="M11" s="68">
        <v>1</v>
      </c>
      <c r="N11" s="69"/>
      <c r="O11" s="70">
        <f t="shared" si="3"/>
        <v>-16.3889</v>
      </c>
      <c r="P11" s="90"/>
      <c r="Q11" s="99"/>
      <c r="R11" s="70">
        <f t="shared" si="4"/>
        <v>0</v>
      </c>
      <c r="S11" s="68"/>
      <c r="T11" s="71">
        <f t="shared" si="5"/>
        <v>-3.7142</v>
      </c>
      <c r="U11" s="76">
        <f t="shared" si="0"/>
        <v>34.40950000000006</v>
      </c>
      <c r="W11" s="86"/>
    </row>
    <row r="12" spans="1:23" ht="12.75">
      <c r="A12" s="2">
        <v>10</v>
      </c>
      <c r="B12" s="79" t="s">
        <v>193</v>
      </c>
      <c r="C12" s="61">
        <f>'2013年9月'!U12</f>
        <v>1.1031999999999886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>
        <v>-1.1032</v>
      </c>
      <c r="L12" s="64">
        <f t="shared" si="6"/>
        <v>0</v>
      </c>
      <c r="M12" s="62">
        <v>1</v>
      </c>
      <c r="N12" s="63">
        <v>100</v>
      </c>
      <c r="O12" s="64">
        <f t="shared" si="3"/>
        <v>-16.3889</v>
      </c>
      <c r="P12" s="92">
        <v>1</v>
      </c>
      <c r="Q12" s="101"/>
      <c r="R12" s="64">
        <f t="shared" si="4"/>
        <v>-16.6667</v>
      </c>
      <c r="S12" s="62"/>
      <c r="T12" s="66">
        <f t="shared" si="5"/>
        <v>-3.7142</v>
      </c>
      <c r="U12" s="76">
        <f t="shared" si="0"/>
        <v>63.23019999999999</v>
      </c>
      <c r="W12" s="86"/>
    </row>
    <row r="13" spans="1:23" ht="12.75">
      <c r="A13" s="2">
        <v>11</v>
      </c>
      <c r="B13" s="79" t="s">
        <v>65</v>
      </c>
      <c r="C13" s="61">
        <f>'2013年9月'!U13</f>
        <v>-69.91420000000001</v>
      </c>
      <c r="D13" s="62">
        <v>1</v>
      </c>
      <c r="E13" s="63"/>
      <c r="F13" s="64">
        <f t="shared" si="1"/>
        <v>-16.6667</v>
      </c>
      <c r="G13" s="62">
        <v>1</v>
      </c>
      <c r="H13" s="63">
        <v>200</v>
      </c>
      <c r="I13" s="64">
        <f t="shared" si="2"/>
        <v>-15</v>
      </c>
      <c r="J13" s="62"/>
      <c r="K13" s="63"/>
      <c r="L13" s="64">
        <f t="shared" si="6"/>
        <v>0</v>
      </c>
      <c r="M13" s="62"/>
      <c r="N13" s="106"/>
      <c r="O13" s="64">
        <f t="shared" si="3"/>
        <v>0</v>
      </c>
      <c r="P13" s="92">
        <v>1</v>
      </c>
      <c r="Q13" s="101"/>
      <c r="R13" s="64">
        <f t="shared" si="4"/>
        <v>-16.6667</v>
      </c>
      <c r="S13" s="65"/>
      <c r="T13" s="66">
        <f t="shared" si="5"/>
        <v>-3.7142</v>
      </c>
      <c r="U13" s="76">
        <f t="shared" si="0"/>
        <v>78.03819999999999</v>
      </c>
      <c r="W13" s="86"/>
    </row>
    <row r="14" spans="1:23" ht="12.75">
      <c r="A14" s="2">
        <v>12</v>
      </c>
      <c r="B14" s="79" t="s">
        <v>66</v>
      </c>
      <c r="C14" s="61">
        <f>'2013年9月'!U14</f>
        <v>56.889499999999984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-15</v>
      </c>
      <c r="J14" s="62"/>
      <c r="K14" s="63"/>
      <c r="L14" s="64">
        <f t="shared" si="6"/>
        <v>0</v>
      </c>
      <c r="M14" s="62"/>
      <c r="N14" s="63"/>
      <c r="O14" s="64">
        <f t="shared" si="3"/>
        <v>0</v>
      </c>
      <c r="P14" s="92"/>
      <c r="Q14" s="101"/>
      <c r="R14" s="64">
        <f t="shared" si="4"/>
        <v>0</v>
      </c>
      <c r="S14" s="62"/>
      <c r="T14" s="66">
        <f t="shared" si="5"/>
        <v>-3.7142</v>
      </c>
      <c r="U14" s="76">
        <f t="shared" si="0"/>
        <v>38.175299999999986</v>
      </c>
      <c r="W14" s="86"/>
    </row>
    <row r="15" spans="1:23" ht="12.75">
      <c r="A15" s="2">
        <v>13</v>
      </c>
      <c r="B15" s="80" t="s">
        <v>67</v>
      </c>
      <c r="C15" s="43">
        <f>'2013年9月'!U15</f>
        <v>32.540800000000026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6"/>
        <v>0</v>
      </c>
      <c r="M15" s="44"/>
      <c r="N15" s="45"/>
      <c r="O15" s="46">
        <f t="shared" si="3"/>
        <v>0</v>
      </c>
      <c r="P15" s="93"/>
      <c r="Q15" s="102"/>
      <c r="R15" s="46">
        <f t="shared" si="4"/>
        <v>0</v>
      </c>
      <c r="S15" s="48"/>
      <c r="T15" s="47">
        <f t="shared" si="5"/>
        <v>-3.7142</v>
      </c>
      <c r="U15" s="76">
        <f t="shared" si="0"/>
        <v>28.826600000000028</v>
      </c>
      <c r="W15" s="86"/>
    </row>
    <row r="16" spans="1:23" ht="12.75">
      <c r="A16" s="2">
        <v>14</v>
      </c>
      <c r="B16" s="80" t="s">
        <v>53</v>
      </c>
      <c r="C16" s="43">
        <f>'2013年9月'!U16</f>
        <v>63.851200000000006</v>
      </c>
      <c r="D16" s="44">
        <v>1</v>
      </c>
      <c r="E16" s="45"/>
      <c r="F16" s="46">
        <f t="shared" si="1"/>
        <v>-16.6667</v>
      </c>
      <c r="G16" s="44">
        <v>1</v>
      </c>
      <c r="H16" s="45"/>
      <c r="I16" s="46">
        <f t="shared" si="2"/>
        <v>-15</v>
      </c>
      <c r="J16" s="44">
        <v>1</v>
      </c>
      <c r="K16" s="45"/>
      <c r="L16" s="46">
        <f t="shared" si="6"/>
        <v>-16.1115</v>
      </c>
      <c r="M16" s="44"/>
      <c r="N16" s="45"/>
      <c r="O16" s="46">
        <f t="shared" si="3"/>
        <v>0</v>
      </c>
      <c r="P16" s="93"/>
      <c r="Q16" s="102"/>
      <c r="R16" s="46">
        <f t="shared" si="4"/>
        <v>0</v>
      </c>
      <c r="S16" s="44"/>
      <c r="T16" s="47">
        <f t="shared" si="5"/>
        <v>-3.7142</v>
      </c>
      <c r="U16" s="76">
        <f t="shared" si="0"/>
        <v>12.358800000000008</v>
      </c>
      <c r="W16" s="86"/>
    </row>
    <row r="17" spans="1:23" ht="12.75">
      <c r="A17" s="2">
        <v>15</v>
      </c>
      <c r="B17" s="80" t="s">
        <v>94</v>
      </c>
      <c r="C17" s="43">
        <f>'2013年9月'!U17</f>
        <v>181.7312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-15</v>
      </c>
      <c r="J17" s="44"/>
      <c r="K17" s="45"/>
      <c r="L17" s="46">
        <f t="shared" si="6"/>
        <v>0</v>
      </c>
      <c r="M17" s="44"/>
      <c r="N17" s="45"/>
      <c r="O17" s="46">
        <f t="shared" si="3"/>
        <v>0</v>
      </c>
      <c r="P17" s="93">
        <v>1</v>
      </c>
      <c r="Q17" s="102"/>
      <c r="R17" s="46">
        <f t="shared" si="4"/>
        <v>-16.6667</v>
      </c>
      <c r="S17" s="48"/>
      <c r="T17" s="47">
        <f t="shared" si="5"/>
        <v>-3.7142</v>
      </c>
      <c r="U17" s="76">
        <f t="shared" si="0"/>
        <v>146.3503</v>
      </c>
      <c r="W17" s="86"/>
    </row>
    <row r="18" spans="1:23" ht="12.75">
      <c r="A18" s="2">
        <v>16</v>
      </c>
      <c r="B18" s="77" t="s">
        <v>182</v>
      </c>
      <c r="C18" s="49">
        <f>'2013年9月'!U18</f>
        <v>-14.551100000000003</v>
      </c>
      <c r="D18" s="50">
        <v>1</v>
      </c>
      <c r="E18" s="51"/>
      <c r="F18" s="52">
        <f t="shared" si="1"/>
        <v>-16.6667</v>
      </c>
      <c r="G18" s="50"/>
      <c r="H18" s="51"/>
      <c r="I18" s="52">
        <f t="shared" si="2"/>
        <v>0</v>
      </c>
      <c r="J18" s="50"/>
      <c r="K18" s="51"/>
      <c r="L18" s="52">
        <f>-16.1115*J18</f>
        <v>0</v>
      </c>
      <c r="M18" s="50"/>
      <c r="N18" s="51"/>
      <c r="O18" s="52">
        <f t="shared" si="3"/>
        <v>0</v>
      </c>
      <c r="P18" s="87">
        <v>1</v>
      </c>
      <c r="Q18" s="96">
        <v>100</v>
      </c>
      <c r="R18" s="52">
        <f t="shared" si="4"/>
        <v>-16.6667</v>
      </c>
      <c r="S18" s="50"/>
      <c r="T18" s="53">
        <f t="shared" si="5"/>
        <v>-3.7142</v>
      </c>
      <c r="U18" s="76">
        <f t="shared" si="0"/>
        <v>48.4013</v>
      </c>
      <c r="W18" s="86"/>
    </row>
    <row r="19" spans="1:23" ht="12.75">
      <c r="A19" s="2">
        <v>17</v>
      </c>
      <c r="B19" s="77" t="s">
        <v>69</v>
      </c>
      <c r="C19" s="49">
        <f>'2013年9月'!U19</f>
        <v>61.344700000000046</v>
      </c>
      <c r="D19" s="50">
        <v>1</v>
      </c>
      <c r="E19" s="51"/>
      <c r="F19" s="52">
        <f t="shared" si="1"/>
        <v>-16.6667</v>
      </c>
      <c r="G19" s="50">
        <v>1</v>
      </c>
      <c r="H19" s="51"/>
      <c r="I19" s="52">
        <f t="shared" si="2"/>
        <v>-15</v>
      </c>
      <c r="J19" s="50"/>
      <c r="K19" s="51"/>
      <c r="L19" s="52">
        <f t="shared" si="6"/>
        <v>0</v>
      </c>
      <c r="M19" s="50">
        <v>1</v>
      </c>
      <c r="N19" s="51"/>
      <c r="O19" s="52">
        <f t="shared" si="3"/>
        <v>-16.3889</v>
      </c>
      <c r="P19" s="87">
        <v>1</v>
      </c>
      <c r="Q19" s="96"/>
      <c r="R19" s="52">
        <f t="shared" si="4"/>
        <v>-16.6667</v>
      </c>
      <c r="S19" s="54"/>
      <c r="T19" s="53">
        <f t="shared" si="5"/>
        <v>-3.7142</v>
      </c>
      <c r="U19" s="76">
        <f t="shared" si="0"/>
        <v>-7.091799999999951</v>
      </c>
      <c r="W19" s="86"/>
    </row>
    <row r="20" spans="1:23" ht="12.75">
      <c r="A20" s="2">
        <v>18</v>
      </c>
      <c r="B20" s="77" t="s">
        <v>97</v>
      </c>
      <c r="C20" s="49">
        <f>'2013年9月'!U20</f>
        <v>39.5978</v>
      </c>
      <c r="D20" s="50">
        <v>1</v>
      </c>
      <c r="E20" s="51"/>
      <c r="F20" s="52">
        <f t="shared" si="1"/>
        <v>-16.6667</v>
      </c>
      <c r="G20" s="50"/>
      <c r="H20" s="51"/>
      <c r="I20" s="52">
        <f t="shared" si="2"/>
        <v>0</v>
      </c>
      <c r="J20" s="50"/>
      <c r="K20" s="51"/>
      <c r="L20" s="52">
        <f t="shared" si="6"/>
        <v>0</v>
      </c>
      <c r="M20" s="50">
        <v>1</v>
      </c>
      <c r="N20" s="51"/>
      <c r="O20" s="52">
        <f t="shared" si="3"/>
        <v>-16.3889</v>
      </c>
      <c r="P20" s="87"/>
      <c r="Q20" s="96"/>
      <c r="R20" s="52">
        <f t="shared" si="4"/>
        <v>0</v>
      </c>
      <c r="S20" s="50"/>
      <c r="T20" s="53">
        <f t="shared" si="5"/>
        <v>-3.7142</v>
      </c>
      <c r="U20" s="76">
        <f t="shared" si="0"/>
        <v>2.828000000000001</v>
      </c>
      <c r="W20" s="86"/>
    </row>
    <row r="21" spans="1:23" ht="12.75">
      <c r="A21" s="2">
        <v>19</v>
      </c>
      <c r="B21" s="78" t="s">
        <v>169</v>
      </c>
      <c r="C21" s="55">
        <f>'2013年9月'!U21</f>
        <v>66.50690000000002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>
        <v>1</v>
      </c>
      <c r="K21" s="57"/>
      <c r="L21" s="58">
        <f t="shared" si="6"/>
        <v>-16.1115</v>
      </c>
      <c r="M21" s="56"/>
      <c r="N21" s="57"/>
      <c r="O21" s="58">
        <f t="shared" si="3"/>
        <v>0</v>
      </c>
      <c r="P21" s="89"/>
      <c r="Q21" s="98"/>
      <c r="R21" s="58">
        <f t="shared" si="4"/>
        <v>0</v>
      </c>
      <c r="S21" s="60"/>
      <c r="T21" s="59">
        <f t="shared" si="5"/>
        <v>-3.7142</v>
      </c>
      <c r="U21" s="76">
        <f t="shared" si="0"/>
        <v>46.68120000000002</v>
      </c>
      <c r="W21" s="86"/>
    </row>
    <row r="22" spans="1:23" ht="12.75">
      <c r="A22" s="2">
        <v>20</v>
      </c>
      <c r="B22" s="78" t="s">
        <v>72</v>
      </c>
      <c r="C22" s="55">
        <f>'2013年9月'!U22</f>
        <v>25.399299999999975</v>
      </c>
      <c r="D22" s="56"/>
      <c r="E22" s="57"/>
      <c r="F22" s="58">
        <f t="shared" si="1"/>
        <v>0</v>
      </c>
      <c r="G22" s="56">
        <v>1</v>
      </c>
      <c r="H22" s="57"/>
      <c r="I22" s="58">
        <f t="shared" si="2"/>
        <v>-15</v>
      </c>
      <c r="J22" s="56"/>
      <c r="K22" s="57"/>
      <c r="L22" s="58">
        <f t="shared" si="6"/>
        <v>0</v>
      </c>
      <c r="M22" s="56">
        <v>1</v>
      </c>
      <c r="N22" s="57"/>
      <c r="O22" s="58">
        <f t="shared" si="3"/>
        <v>-16.3889</v>
      </c>
      <c r="P22" s="89"/>
      <c r="Q22" s="98"/>
      <c r="R22" s="58">
        <f t="shared" si="4"/>
        <v>0</v>
      </c>
      <c r="S22" s="56"/>
      <c r="T22" s="59">
        <f t="shared" si="5"/>
        <v>-3.7142</v>
      </c>
      <c r="U22" s="76">
        <f t="shared" si="0"/>
        <v>-9.703800000000024</v>
      </c>
      <c r="W22" s="86"/>
    </row>
    <row r="23" spans="1:23" ht="12.75">
      <c r="A23" s="2">
        <v>21</v>
      </c>
      <c r="B23" s="78" t="s">
        <v>73</v>
      </c>
      <c r="C23" s="55">
        <f>'2013年9月'!U23</f>
        <v>61.19300000000001</v>
      </c>
      <c r="D23" s="56">
        <v>1</v>
      </c>
      <c r="E23" s="57"/>
      <c r="F23" s="58">
        <f t="shared" si="1"/>
        <v>-16.6667</v>
      </c>
      <c r="G23" s="56">
        <v>1</v>
      </c>
      <c r="H23" s="57">
        <v>200</v>
      </c>
      <c r="I23" s="58">
        <f t="shared" si="2"/>
        <v>-15</v>
      </c>
      <c r="J23" s="56">
        <v>2</v>
      </c>
      <c r="K23" s="57"/>
      <c r="L23" s="58">
        <f t="shared" si="6"/>
        <v>-32.223</v>
      </c>
      <c r="M23" s="56">
        <v>1</v>
      </c>
      <c r="N23" s="57"/>
      <c r="O23" s="58">
        <f t="shared" si="3"/>
        <v>-16.3889</v>
      </c>
      <c r="P23" s="89"/>
      <c r="Q23" s="98"/>
      <c r="R23" s="58">
        <f t="shared" si="4"/>
        <v>0</v>
      </c>
      <c r="S23" s="60"/>
      <c r="T23" s="59">
        <f t="shared" si="5"/>
        <v>-3.7142</v>
      </c>
      <c r="U23" s="76">
        <f t="shared" si="0"/>
        <v>177.20020000000002</v>
      </c>
      <c r="W23" s="86"/>
    </row>
    <row r="24" spans="1:23" ht="12.75">
      <c r="A24" s="2">
        <v>22</v>
      </c>
      <c r="B24" s="81" t="s">
        <v>74</v>
      </c>
      <c r="C24" s="67">
        <f>'2013年9月'!U24</f>
        <v>129.52490000000006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-15</v>
      </c>
      <c r="J24" s="68"/>
      <c r="K24" s="69"/>
      <c r="L24" s="70">
        <f t="shared" si="6"/>
        <v>0</v>
      </c>
      <c r="M24" s="68">
        <v>1</v>
      </c>
      <c r="N24" s="69"/>
      <c r="O24" s="70">
        <f t="shared" si="3"/>
        <v>-16.3889</v>
      </c>
      <c r="P24" s="90"/>
      <c r="Q24" s="99"/>
      <c r="R24" s="70">
        <f t="shared" si="4"/>
        <v>0</v>
      </c>
      <c r="S24" s="68"/>
      <c r="T24" s="71">
        <f t="shared" si="5"/>
        <v>-3.7142</v>
      </c>
      <c r="U24" s="76">
        <f t="shared" si="0"/>
        <v>94.42180000000005</v>
      </c>
      <c r="W24" s="86"/>
    </row>
    <row r="25" spans="1:23" ht="12.75">
      <c r="A25" s="2">
        <v>23</v>
      </c>
      <c r="B25" s="81" t="s">
        <v>75</v>
      </c>
      <c r="C25" s="67">
        <f>'2013年9月'!U25</f>
        <v>134.23680000000002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6"/>
        <v>0</v>
      </c>
      <c r="M25" s="68">
        <v>1</v>
      </c>
      <c r="N25" s="69"/>
      <c r="O25" s="70">
        <f t="shared" si="3"/>
        <v>-16.3889</v>
      </c>
      <c r="P25" s="90"/>
      <c r="Q25" s="99"/>
      <c r="R25" s="70">
        <f t="shared" si="4"/>
        <v>0</v>
      </c>
      <c r="S25" s="68"/>
      <c r="T25" s="71">
        <f t="shared" si="5"/>
        <v>-3.7142</v>
      </c>
      <c r="U25" s="76">
        <f t="shared" si="0"/>
        <v>114.1337</v>
      </c>
      <c r="W25" s="86"/>
    </row>
    <row r="26" spans="1:23" ht="12.75">
      <c r="A26" s="2">
        <v>24</v>
      </c>
      <c r="B26" s="81" t="s">
        <v>92</v>
      </c>
      <c r="C26" s="67">
        <f>'2013年9月'!U26</f>
        <v>97.46080000000005</v>
      </c>
      <c r="D26" s="68">
        <v>1</v>
      </c>
      <c r="E26" s="69"/>
      <c r="F26" s="70">
        <f t="shared" si="1"/>
        <v>-16.6667</v>
      </c>
      <c r="G26" s="68">
        <v>1</v>
      </c>
      <c r="H26" s="69"/>
      <c r="I26" s="70">
        <f t="shared" si="2"/>
        <v>-15</v>
      </c>
      <c r="J26" s="68">
        <v>1</v>
      </c>
      <c r="K26" s="69"/>
      <c r="L26" s="70">
        <f t="shared" si="6"/>
        <v>-16.1115</v>
      </c>
      <c r="M26" s="68">
        <v>1</v>
      </c>
      <c r="N26" s="69"/>
      <c r="O26" s="70">
        <f>-16.3889*M26-5</f>
        <v>-21.3889</v>
      </c>
      <c r="P26" s="90">
        <v>1</v>
      </c>
      <c r="Q26" s="99"/>
      <c r="R26" s="70">
        <f t="shared" si="4"/>
        <v>-16.6667</v>
      </c>
      <c r="S26" s="72"/>
      <c r="T26" s="71">
        <f t="shared" si="5"/>
        <v>-3.7142</v>
      </c>
      <c r="U26" s="76">
        <f t="shared" si="0"/>
        <v>7.912800000000047</v>
      </c>
      <c r="W26" s="86"/>
    </row>
    <row r="27" spans="1:23" ht="12.75">
      <c r="A27" s="2">
        <v>25</v>
      </c>
      <c r="B27" s="79" t="s">
        <v>98</v>
      </c>
      <c r="C27" s="61">
        <f>'2013年9月'!U27</f>
        <v>-64.74030000000002</v>
      </c>
      <c r="D27" s="62">
        <v>1</v>
      </c>
      <c r="E27" s="73"/>
      <c r="F27" s="64">
        <f t="shared" si="1"/>
        <v>-16.6667</v>
      </c>
      <c r="G27" s="62">
        <v>1</v>
      </c>
      <c r="H27" s="73">
        <v>200</v>
      </c>
      <c r="I27" s="64">
        <f t="shared" si="2"/>
        <v>-15</v>
      </c>
      <c r="J27" s="62"/>
      <c r="K27" s="73"/>
      <c r="L27" s="64">
        <f t="shared" si="6"/>
        <v>0</v>
      </c>
      <c r="M27" s="62">
        <v>1</v>
      </c>
      <c r="N27" s="73"/>
      <c r="O27" s="64">
        <f t="shared" si="3"/>
        <v>-16.3889</v>
      </c>
      <c r="P27" s="92">
        <v>1</v>
      </c>
      <c r="Q27" s="101"/>
      <c r="R27" s="64">
        <f t="shared" si="4"/>
        <v>-16.6667</v>
      </c>
      <c r="S27" s="62"/>
      <c r="T27" s="66">
        <f t="shared" si="5"/>
        <v>-3.7142</v>
      </c>
      <c r="U27" s="76">
        <f t="shared" si="0"/>
        <v>66.82319999999999</v>
      </c>
      <c r="W27" s="86"/>
    </row>
    <row r="28" spans="1:23" ht="12.75">
      <c r="A28" s="2">
        <v>26</v>
      </c>
      <c r="B28" s="79" t="s">
        <v>99</v>
      </c>
      <c r="C28" s="61">
        <f>'2013年9月'!U28</f>
        <v>171.11690000000007</v>
      </c>
      <c r="D28" s="65"/>
      <c r="E28" s="73"/>
      <c r="F28" s="64">
        <f t="shared" si="1"/>
        <v>0</v>
      </c>
      <c r="G28" s="65"/>
      <c r="H28" s="73"/>
      <c r="I28" s="64">
        <f t="shared" si="2"/>
        <v>0</v>
      </c>
      <c r="J28" s="65"/>
      <c r="K28" s="73"/>
      <c r="L28" s="64">
        <f t="shared" si="6"/>
        <v>0</v>
      </c>
      <c r="M28" s="65">
        <v>1</v>
      </c>
      <c r="N28" s="73"/>
      <c r="O28" s="64">
        <f t="shared" si="3"/>
        <v>-16.3889</v>
      </c>
      <c r="P28" s="94"/>
      <c r="Q28" s="103"/>
      <c r="R28" s="64">
        <f t="shared" si="4"/>
        <v>0</v>
      </c>
      <c r="S28" s="65"/>
      <c r="T28" s="66">
        <f t="shared" si="5"/>
        <v>-3.7142</v>
      </c>
      <c r="U28" s="76">
        <f t="shared" si="0"/>
        <v>151.01380000000006</v>
      </c>
      <c r="W28" s="86"/>
    </row>
    <row r="29" spans="1:23" ht="12.75">
      <c r="A29" s="2">
        <v>27</v>
      </c>
      <c r="B29" s="79" t="s">
        <v>100</v>
      </c>
      <c r="C29" s="61">
        <f>'2013年9月'!U29</f>
        <v>68.99899999999998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-15</v>
      </c>
      <c r="J29" s="62">
        <v>1</v>
      </c>
      <c r="K29" s="63"/>
      <c r="L29" s="64">
        <f t="shared" si="6"/>
        <v>-16.1115</v>
      </c>
      <c r="M29" s="62"/>
      <c r="N29" s="63"/>
      <c r="O29" s="64">
        <f t="shared" si="3"/>
        <v>0</v>
      </c>
      <c r="P29" s="92">
        <v>1</v>
      </c>
      <c r="Q29" s="101"/>
      <c r="R29" s="64">
        <f t="shared" si="4"/>
        <v>-16.6667</v>
      </c>
      <c r="S29" s="62"/>
      <c r="T29" s="66">
        <f t="shared" si="5"/>
        <v>-3.7142</v>
      </c>
      <c r="U29" s="76">
        <f t="shared" si="0"/>
        <v>17.506599999999985</v>
      </c>
      <c r="W29" s="86"/>
    </row>
    <row r="30" spans="1:23" ht="12.75">
      <c r="A30" s="2">
        <v>28</v>
      </c>
      <c r="B30" s="80" t="s">
        <v>80</v>
      </c>
      <c r="C30" s="43">
        <f>'2013年9月'!U30</f>
        <v>155.13680000000002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6"/>
        <v>0</v>
      </c>
      <c r="M30" s="48"/>
      <c r="N30" s="74"/>
      <c r="O30" s="46">
        <f t="shared" si="3"/>
        <v>0</v>
      </c>
      <c r="P30" s="95"/>
      <c r="Q30" s="104"/>
      <c r="R30" s="46">
        <f t="shared" si="4"/>
        <v>0</v>
      </c>
      <c r="S30" s="48"/>
      <c r="T30" s="47">
        <f t="shared" si="5"/>
        <v>-3.7142</v>
      </c>
      <c r="U30" s="76">
        <f t="shared" si="0"/>
        <v>151.42260000000002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'2013年9月'!U31</f>
        <v>3.565400000000011</v>
      </c>
      <c r="D31" s="44">
        <v>1</v>
      </c>
      <c r="E31" s="74"/>
      <c r="F31" s="46">
        <f t="shared" si="1"/>
        <v>-16.6667</v>
      </c>
      <c r="G31" s="44"/>
      <c r="H31" s="74"/>
      <c r="I31" s="46">
        <f t="shared" si="2"/>
        <v>0</v>
      </c>
      <c r="J31" s="44">
        <v>1</v>
      </c>
      <c r="K31" s="74">
        <v>100</v>
      </c>
      <c r="L31" s="46">
        <f t="shared" si="6"/>
        <v>-16.1115</v>
      </c>
      <c r="M31" s="44"/>
      <c r="N31" s="74"/>
      <c r="O31" s="46">
        <f t="shared" si="3"/>
        <v>0</v>
      </c>
      <c r="P31" s="93"/>
      <c r="Q31" s="102"/>
      <c r="R31" s="46">
        <f t="shared" si="4"/>
        <v>0</v>
      </c>
      <c r="S31" s="44"/>
      <c r="T31" s="47">
        <f t="shared" si="5"/>
        <v>-3.7142</v>
      </c>
      <c r="U31" s="76">
        <f t="shared" si="0"/>
        <v>67.07300000000001</v>
      </c>
      <c r="W31" s="86"/>
    </row>
    <row r="32" spans="1:23" ht="12.75">
      <c r="A32" s="2">
        <v>30</v>
      </c>
      <c r="B32" s="80" t="s">
        <v>170</v>
      </c>
      <c r="C32" s="43">
        <f>'2013年9月'!U32</f>
        <v>68.85990000000001</v>
      </c>
      <c r="D32" s="48">
        <v>1</v>
      </c>
      <c r="E32" s="74"/>
      <c r="F32" s="46">
        <f t="shared" si="1"/>
        <v>-16.6667</v>
      </c>
      <c r="G32" s="48"/>
      <c r="H32" s="74"/>
      <c r="I32" s="46">
        <f t="shared" si="2"/>
        <v>0</v>
      </c>
      <c r="J32" s="48"/>
      <c r="K32" s="74"/>
      <c r="L32" s="46">
        <f t="shared" si="6"/>
        <v>0</v>
      </c>
      <c r="M32" s="48"/>
      <c r="N32" s="74"/>
      <c r="O32" s="46">
        <f t="shared" si="3"/>
        <v>0</v>
      </c>
      <c r="P32" s="95"/>
      <c r="Q32" s="104"/>
      <c r="R32" s="46">
        <f t="shared" si="4"/>
        <v>0</v>
      </c>
      <c r="S32" s="48"/>
      <c r="T32" s="47">
        <f t="shared" si="5"/>
        <v>-3.7142</v>
      </c>
      <c r="U32" s="76">
        <f t="shared" si="0"/>
        <v>48.47900000000001</v>
      </c>
      <c r="W32" s="86"/>
    </row>
    <row r="33" spans="1:23" ht="12.75">
      <c r="A33" s="2">
        <v>31</v>
      </c>
      <c r="B33" s="77" t="s">
        <v>104</v>
      </c>
      <c r="C33" s="49">
        <f>'2013年9月'!U33</f>
        <v>-7.870400000000004</v>
      </c>
      <c r="D33" s="50">
        <v>1</v>
      </c>
      <c r="E33" s="51"/>
      <c r="F33" s="52">
        <f t="shared" si="1"/>
        <v>-16.6667</v>
      </c>
      <c r="G33" s="50">
        <v>1</v>
      </c>
      <c r="H33" s="51">
        <v>100</v>
      </c>
      <c r="I33" s="52">
        <f t="shared" si="2"/>
        <v>-15</v>
      </c>
      <c r="J33" s="50"/>
      <c r="K33" s="51"/>
      <c r="L33" s="52">
        <f>-16.1115*J33</f>
        <v>0</v>
      </c>
      <c r="M33" s="50">
        <v>1</v>
      </c>
      <c r="N33" s="51"/>
      <c r="O33" s="52">
        <f t="shared" si="3"/>
        <v>-16.3889</v>
      </c>
      <c r="P33" s="87">
        <v>1</v>
      </c>
      <c r="Q33" s="96"/>
      <c r="R33" s="52">
        <f t="shared" si="4"/>
        <v>-16.6667</v>
      </c>
      <c r="S33" s="50"/>
      <c r="T33" s="53">
        <f t="shared" si="5"/>
        <v>-3.7142</v>
      </c>
      <c r="U33" s="76">
        <f t="shared" si="0"/>
        <v>23.693099999999994</v>
      </c>
      <c r="W33" s="86"/>
    </row>
    <row r="34" spans="1:23" ht="12.75">
      <c r="A34" s="2">
        <v>32</v>
      </c>
      <c r="B34" s="77" t="s">
        <v>190</v>
      </c>
      <c r="C34" s="49">
        <f>'2013年9月'!U34</f>
        <v>0</v>
      </c>
      <c r="D34" s="50"/>
      <c r="E34" s="51"/>
      <c r="F34" s="52">
        <f t="shared" si="1"/>
        <v>0</v>
      </c>
      <c r="G34" s="85">
        <v>1</v>
      </c>
      <c r="H34" s="51">
        <v>100</v>
      </c>
      <c r="I34" s="52">
        <f t="shared" si="2"/>
        <v>-15</v>
      </c>
      <c r="J34" s="85">
        <v>1</v>
      </c>
      <c r="K34" s="51"/>
      <c r="L34" s="52">
        <f t="shared" si="6"/>
        <v>-16.1115</v>
      </c>
      <c r="M34" s="50"/>
      <c r="N34" s="51"/>
      <c r="O34" s="52">
        <f t="shared" si="3"/>
        <v>0</v>
      </c>
      <c r="P34" s="87">
        <v>1</v>
      </c>
      <c r="Q34" s="96"/>
      <c r="R34" s="52">
        <f t="shared" si="4"/>
        <v>-16.6667</v>
      </c>
      <c r="S34" s="54"/>
      <c r="T34" s="53">
        <f t="shared" si="5"/>
        <v>-3.7142</v>
      </c>
      <c r="U34" s="76">
        <f t="shared" si="0"/>
        <v>48.50759999999999</v>
      </c>
      <c r="W34" s="86"/>
    </row>
    <row r="35" spans="1:23" ht="12.75">
      <c r="A35" s="2">
        <v>33</v>
      </c>
      <c r="B35" s="77" t="s">
        <v>188</v>
      </c>
      <c r="C35" s="49">
        <f>'2013年9月'!U35</f>
        <v>0</v>
      </c>
      <c r="D35" s="50"/>
      <c r="E35" s="51"/>
      <c r="F35" s="52">
        <f t="shared" si="1"/>
        <v>0</v>
      </c>
      <c r="G35" s="50">
        <v>1</v>
      </c>
      <c r="H35" s="51">
        <v>200</v>
      </c>
      <c r="I35" s="52">
        <f t="shared" si="2"/>
        <v>-15</v>
      </c>
      <c r="J35" s="50">
        <v>1</v>
      </c>
      <c r="K35" s="51"/>
      <c r="L35" s="52">
        <f t="shared" si="6"/>
        <v>-16.1115</v>
      </c>
      <c r="M35" s="50">
        <v>1</v>
      </c>
      <c r="N35" s="51"/>
      <c r="O35" s="52">
        <f t="shared" si="3"/>
        <v>-16.3889</v>
      </c>
      <c r="P35" s="87">
        <v>1</v>
      </c>
      <c r="Q35" s="96"/>
      <c r="R35" s="52">
        <f t="shared" si="4"/>
        <v>-16.6667</v>
      </c>
      <c r="S35" s="50"/>
      <c r="T35" s="53">
        <f t="shared" si="5"/>
        <v>-3.7142</v>
      </c>
      <c r="U35" s="76">
        <f t="shared" si="0"/>
        <v>132.1187</v>
      </c>
      <c r="W35" s="86"/>
    </row>
    <row r="36" spans="1:23" ht="12.75">
      <c r="A36" s="2">
        <v>34</v>
      </c>
      <c r="B36" s="78" t="s">
        <v>101</v>
      </c>
      <c r="C36" s="55">
        <f>'2013年9月'!U36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6"/>
        <v>0</v>
      </c>
      <c r="M36" s="56"/>
      <c r="N36" s="57"/>
      <c r="O36" s="58">
        <f t="shared" si="3"/>
        <v>0</v>
      </c>
      <c r="P36" s="89"/>
      <c r="Q36" s="98"/>
      <c r="R36" s="58">
        <f t="shared" si="4"/>
        <v>0</v>
      </c>
      <c r="S36" s="60"/>
      <c r="T36" s="59">
        <f t="shared" si="5"/>
        <v>-3.7142</v>
      </c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'2013年9月'!U37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6"/>
        <v>0</v>
      </c>
      <c r="M37" s="56"/>
      <c r="N37" s="57"/>
      <c r="O37" s="58">
        <f t="shared" si="3"/>
        <v>0</v>
      </c>
      <c r="P37" s="89"/>
      <c r="Q37" s="98"/>
      <c r="R37" s="58">
        <f t="shared" si="4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'2013年9月'!U38</f>
        <v>0</v>
      </c>
      <c r="D38" s="56"/>
      <c r="E38" s="57"/>
      <c r="F38" s="58">
        <f t="shared" si="1"/>
        <v>0</v>
      </c>
      <c r="G38" s="56">
        <v>1</v>
      </c>
      <c r="H38" s="57">
        <v>200</v>
      </c>
      <c r="I38" s="58">
        <f t="shared" si="2"/>
        <v>-15</v>
      </c>
      <c r="J38" s="56">
        <v>1</v>
      </c>
      <c r="K38" s="57"/>
      <c r="L38" s="58">
        <f>-16.1115*J38-10</f>
        <v>-26.1115</v>
      </c>
      <c r="M38" s="56"/>
      <c r="N38" s="57"/>
      <c r="O38" s="58">
        <f t="shared" si="3"/>
        <v>0</v>
      </c>
      <c r="P38" s="89"/>
      <c r="Q38" s="98"/>
      <c r="R38" s="58">
        <f t="shared" si="4"/>
        <v>0</v>
      </c>
      <c r="S38" s="60"/>
      <c r="T38" s="59">
        <f t="shared" si="5"/>
        <v>-3.7142</v>
      </c>
      <c r="U38" s="76">
        <f t="shared" si="0"/>
        <v>155.1743</v>
      </c>
      <c r="W38" s="86"/>
    </row>
    <row r="39" spans="1:23" ht="12.75">
      <c r="A39" s="2">
        <v>37</v>
      </c>
      <c r="B39" s="81"/>
      <c r="C39" s="67">
        <f>'2013年9月'!U39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6"/>
        <v>0</v>
      </c>
      <c r="M39" s="68"/>
      <c r="N39" s="69"/>
      <c r="O39" s="70">
        <f t="shared" si="3"/>
        <v>0</v>
      </c>
      <c r="P39" s="90"/>
      <c r="Q39" s="99"/>
      <c r="R39" s="70">
        <f t="shared" si="4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'2013年9月'!U40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6"/>
        <v>0</v>
      </c>
      <c r="M40" s="68"/>
      <c r="N40" s="69"/>
      <c r="O40" s="70">
        <f t="shared" si="3"/>
        <v>0</v>
      </c>
      <c r="P40" s="90"/>
      <c r="Q40" s="99"/>
      <c r="R40" s="70">
        <f t="shared" si="4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'2013年9月'!U41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6"/>
        <v>0</v>
      </c>
      <c r="M41" s="68"/>
      <c r="N41" s="69"/>
      <c r="O41" s="70">
        <f t="shared" si="3"/>
        <v>0</v>
      </c>
      <c r="P41" s="90"/>
      <c r="Q41" s="99"/>
      <c r="R41" s="70">
        <f t="shared" si="4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36</v>
      </c>
      <c r="D43" s="1">
        <f>SUM(D3:D41)</f>
        <v>18</v>
      </c>
      <c r="F43" s="1">
        <f>E54/D43</f>
        <v>16.666666666666668</v>
      </c>
      <c r="G43" s="1">
        <f>SUM(G3:G41)</f>
        <v>20</v>
      </c>
      <c r="I43" s="1">
        <f>H54/G43</f>
        <v>15</v>
      </c>
      <c r="J43" s="1">
        <f>SUM(J3:J41)</f>
        <v>17</v>
      </c>
      <c r="L43" s="1">
        <f>K54/J43</f>
        <v>16.111576470588233</v>
      </c>
      <c r="M43" s="1">
        <f>SUM(M3:M41)</f>
        <v>18</v>
      </c>
      <c r="O43" s="1">
        <f>N54/M43</f>
        <v>16.38888888888889</v>
      </c>
      <c r="P43" s="1">
        <f>SUM(P3:P41)</f>
        <v>18</v>
      </c>
      <c r="R43" s="1">
        <f>Q54/P43</f>
        <v>16.666666666666668</v>
      </c>
      <c r="S43" s="1">
        <f>SUM(S3:S42)</f>
        <v>0</v>
      </c>
      <c r="T43" s="27">
        <f>SUM(T3:T41)</f>
        <v>-129.99700000000007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-300.0005999999999</v>
      </c>
      <c r="H45" s="28" t="s">
        <v>84</v>
      </c>
      <c r="I45" s="1">
        <f>SUM(I3:I41)</f>
        <v>-300</v>
      </c>
      <c r="K45" s="28" t="s">
        <v>84</v>
      </c>
      <c r="L45" s="1">
        <f>SUM(L3:L41)</f>
        <v>-298.8955</v>
      </c>
      <c r="N45" s="28" t="s">
        <v>84</v>
      </c>
      <c r="O45" s="1">
        <f>SUM(O3:O41)</f>
        <v>-300.0002</v>
      </c>
      <c r="Q45" s="28" t="s">
        <v>84</v>
      </c>
      <c r="R45" s="1">
        <f>SUM(R3:R41)</f>
        <v>-300.0005999999999</v>
      </c>
      <c r="U45" s="19"/>
    </row>
    <row r="46" spans="2:21" ht="12.75">
      <c r="B46" s="29" t="s">
        <v>85</v>
      </c>
      <c r="C46" s="27">
        <f>SUM(C3:C41)</f>
        <v>1699.9979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2300.0008000000003</v>
      </c>
      <c r="W47" s="86">
        <f>U47</f>
        <v>2300.0008000000003</v>
      </c>
    </row>
    <row r="48" spans="2:20" ht="12.75" customHeight="1">
      <c r="B48" s="86"/>
      <c r="D48" s="117" t="s">
        <v>183</v>
      </c>
      <c r="E48" s="118"/>
      <c r="F48" s="119"/>
      <c r="G48" s="117" t="s">
        <v>184</v>
      </c>
      <c r="H48" s="118"/>
      <c r="I48" s="119"/>
      <c r="J48" s="117" t="s">
        <v>185</v>
      </c>
      <c r="K48" s="118"/>
      <c r="L48" s="119"/>
      <c r="M48" s="117" t="s">
        <v>186</v>
      </c>
      <c r="N48" s="118"/>
      <c r="O48" s="119"/>
      <c r="P48" s="117" t="s">
        <v>187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273.8968</v>
      </c>
      <c r="L54" s="37"/>
      <c r="M54" s="38" t="s">
        <v>87</v>
      </c>
      <c r="N54" s="36">
        <f>N56-N72-N81</f>
        <v>295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 t="s">
        <v>192</v>
      </c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 t="s">
        <v>189</v>
      </c>
      <c r="K69" s="1">
        <v>10</v>
      </c>
      <c r="M69" s="28"/>
      <c r="N69" s="28"/>
      <c r="P69" s="28"/>
    </row>
    <row r="70" spans="4:16" ht="12.75" customHeight="1">
      <c r="D70" s="82"/>
      <c r="G70" s="28"/>
      <c r="J70" s="28" t="s">
        <v>96</v>
      </c>
      <c r="K70" s="1">
        <v>10</v>
      </c>
      <c r="M70" s="28"/>
      <c r="N70" s="28"/>
      <c r="P70" s="28"/>
    </row>
    <row r="71" spans="4:16" ht="12.75">
      <c r="D71" s="28"/>
      <c r="G71" s="28"/>
      <c r="J71" s="28"/>
      <c r="K71" s="1">
        <v>1.1032</v>
      </c>
      <c r="M71" s="28"/>
      <c r="N71" s="28"/>
      <c r="P71" s="28"/>
    </row>
    <row r="72" spans="5:17" ht="12.75">
      <c r="E72" s="28"/>
      <c r="H72" s="28"/>
      <c r="J72" s="28"/>
      <c r="K72" s="107">
        <f>SUM(K69:K71)</f>
        <v>21.1032</v>
      </c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 t="s">
        <v>191</v>
      </c>
      <c r="K77" s="28">
        <v>5</v>
      </c>
      <c r="M77" s="105" t="s">
        <v>92</v>
      </c>
      <c r="N77" s="28">
        <v>5</v>
      </c>
      <c r="P77" s="105"/>
    </row>
    <row r="81" spans="7:14" ht="12.75">
      <c r="G81" s="28"/>
      <c r="K81" s="1">
        <f>SUM(K77:K80)</f>
        <v>5</v>
      </c>
      <c r="N81" s="1">
        <f>SUM(N77:N80)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41595</v>
      </c>
      <c r="E1" s="126"/>
      <c r="F1" s="127"/>
      <c r="G1" s="16"/>
      <c r="H1" s="24">
        <v>41602</v>
      </c>
      <c r="I1" s="17"/>
      <c r="J1" s="30"/>
      <c r="K1" s="24">
        <v>41609</v>
      </c>
      <c r="L1" s="31"/>
      <c r="M1" s="16"/>
      <c r="N1" s="24">
        <v>41616</v>
      </c>
      <c r="O1" s="17"/>
      <c r="P1" s="16"/>
      <c r="Q1" s="24">
        <v>41623</v>
      </c>
      <c r="R1" s="17"/>
      <c r="S1" s="128"/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'2013年10月'!U3</f>
        <v>105.95420000000001</v>
      </c>
      <c r="D3" s="50">
        <v>1</v>
      </c>
      <c r="E3" s="51"/>
      <c r="F3" s="52">
        <f>-9.09091*D3</f>
        <v>-9.09091</v>
      </c>
      <c r="G3" s="50">
        <v>1</v>
      </c>
      <c r="H3" s="51"/>
      <c r="I3" s="52">
        <f>-16.6667*G3</f>
        <v>-16.6667</v>
      </c>
      <c r="J3" s="50">
        <v>1</v>
      </c>
      <c r="K3" s="51"/>
      <c r="L3" s="52">
        <f>-15*J3</f>
        <v>-15</v>
      </c>
      <c r="M3" s="50">
        <v>1</v>
      </c>
      <c r="N3" s="51"/>
      <c r="O3" s="52">
        <f>-13.5714*M3</f>
        <v>-13.5714</v>
      </c>
      <c r="P3" s="87">
        <v>1</v>
      </c>
      <c r="Q3" s="96"/>
      <c r="R3" s="52">
        <f>-13.6364*P3</f>
        <v>-13.6364</v>
      </c>
      <c r="S3" s="50"/>
      <c r="T3" s="53"/>
      <c r="U3" s="76">
        <f aca="true" t="shared" si="0" ref="U3:U41">C3+E3+F3+H3+I3+K3+L3+N3+O3+T3+Q3+R3</f>
        <v>37.988790000000016</v>
      </c>
      <c r="W3" s="86"/>
    </row>
    <row r="4" spans="1:23" ht="12.75">
      <c r="A4" s="2">
        <v>2</v>
      </c>
      <c r="B4" s="75" t="s">
        <v>3</v>
      </c>
      <c r="C4" s="49">
        <f>'2013年10月'!U4</f>
        <v>38.270300000000056</v>
      </c>
      <c r="D4" s="50">
        <v>1</v>
      </c>
      <c r="E4" s="51"/>
      <c r="F4" s="52">
        <f aca="true" t="shared" si="1" ref="F4:F41">-9.09091*D4</f>
        <v>-9.09091</v>
      </c>
      <c r="G4" s="50">
        <v>1</v>
      </c>
      <c r="H4" s="51"/>
      <c r="I4" s="52">
        <f aca="true" t="shared" si="2" ref="I4:I41">-16.6667*G4</f>
        <v>-16.6667</v>
      </c>
      <c r="J4" s="50">
        <v>1</v>
      </c>
      <c r="K4" s="51">
        <v>200</v>
      </c>
      <c r="L4" s="52">
        <f aca="true" t="shared" si="3" ref="L4:L41">-15*J4</f>
        <v>-15</v>
      </c>
      <c r="M4" s="50">
        <v>1</v>
      </c>
      <c r="N4" s="51"/>
      <c r="O4" s="52">
        <f aca="true" t="shared" si="4" ref="O4:O41">-13.5714*M4</f>
        <v>-13.5714</v>
      </c>
      <c r="P4" s="87">
        <v>1</v>
      </c>
      <c r="Q4" s="96"/>
      <c r="R4" s="52">
        <f aca="true" t="shared" si="5" ref="R4:R41">-13.6364*P4</f>
        <v>-13.6364</v>
      </c>
      <c r="S4" s="54"/>
      <c r="T4" s="53"/>
      <c r="U4" s="76">
        <f t="shared" si="0"/>
        <v>170.30489000000003</v>
      </c>
      <c r="W4" s="86"/>
    </row>
    <row r="5" spans="1:23" ht="12.75">
      <c r="A5" s="2">
        <v>3</v>
      </c>
      <c r="B5" s="77" t="s">
        <v>58</v>
      </c>
      <c r="C5" s="49">
        <f>'2013年10月'!U5</f>
        <v>79.43119999999999</v>
      </c>
      <c r="D5" s="50">
        <v>1</v>
      </c>
      <c r="E5" s="51"/>
      <c r="F5" s="52">
        <f t="shared" si="1"/>
        <v>-9.09091</v>
      </c>
      <c r="G5" s="50"/>
      <c r="H5" s="51"/>
      <c r="I5" s="52">
        <f t="shared" si="2"/>
        <v>0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-13.5714</v>
      </c>
      <c r="P5" s="87">
        <v>1</v>
      </c>
      <c r="Q5" s="96"/>
      <c r="R5" s="52">
        <f t="shared" si="5"/>
        <v>-13.6364</v>
      </c>
      <c r="S5" s="50"/>
      <c r="T5" s="53"/>
      <c r="U5" s="76">
        <f t="shared" si="0"/>
        <v>28.132489999999997</v>
      </c>
      <c r="W5" s="86"/>
    </row>
    <row r="6" spans="1:23" ht="12.75">
      <c r="A6" s="2">
        <v>4</v>
      </c>
      <c r="B6" s="110">
        <v>9631</v>
      </c>
      <c r="C6" s="55">
        <f>'2013年10月'!U6</f>
        <v>-0.4905000000000257</v>
      </c>
      <c r="D6" s="60">
        <v>1</v>
      </c>
      <c r="E6" s="57"/>
      <c r="F6" s="58">
        <f t="shared" si="1"/>
        <v>-9.09091</v>
      </c>
      <c r="G6" s="60">
        <v>1</v>
      </c>
      <c r="H6" s="57">
        <v>100</v>
      </c>
      <c r="I6" s="58">
        <f t="shared" si="2"/>
        <v>-16.6667</v>
      </c>
      <c r="J6" s="60">
        <v>1</v>
      </c>
      <c r="K6" s="57"/>
      <c r="L6" s="58">
        <f t="shared" si="3"/>
        <v>-15</v>
      </c>
      <c r="M6" s="60">
        <v>1</v>
      </c>
      <c r="N6" s="57"/>
      <c r="O6" s="58">
        <f t="shared" si="4"/>
        <v>-13.5714</v>
      </c>
      <c r="P6" s="88"/>
      <c r="Q6" s="97"/>
      <c r="R6" s="58">
        <f t="shared" si="5"/>
        <v>0</v>
      </c>
      <c r="S6" s="60"/>
      <c r="T6" s="59"/>
      <c r="U6" s="76">
        <f t="shared" si="0"/>
        <v>45.18048999999998</v>
      </c>
      <c r="W6" s="86"/>
    </row>
    <row r="7" spans="1:23" ht="12.75">
      <c r="A7" s="2">
        <v>5</v>
      </c>
      <c r="B7" s="78" t="s">
        <v>95</v>
      </c>
      <c r="C7" s="55">
        <f>'2013年10月'!U7</f>
        <v>-0.21469999999997924</v>
      </c>
      <c r="D7" s="56">
        <v>1</v>
      </c>
      <c r="E7" s="57"/>
      <c r="F7" s="58">
        <f t="shared" si="1"/>
        <v>-9.09091</v>
      </c>
      <c r="G7" s="56"/>
      <c r="H7" s="57"/>
      <c r="I7" s="58">
        <f t="shared" si="2"/>
        <v>0</v>
      </c>
      <c r="J7" s="56">
        <v>1</v>
      </c>
      <c r="K7" s="57">
        <v>200</v>
      </c>
      <c r="L7" s="58">
        <f t="shared" si="3"/>
        <v>-15</v>
      </c>
      <c r="M7" s="56">
        <v>1</v>
      </c>
      <c r="N7" s="57"/>
      <c r="O7" s="58">
        <f t="shared" si="4"/>
        <v>-13.5714</v>
      </c>
      <c r="P7" s="89">
        <v>1</v>
      </c>
      <c r="Q7" s="98"/>
      <c r="R7" s="58">
        <f t="shared" si="5"/>
        <v>-13.6364</v>
      </c>
      <c r="S7" s="56"/>
      <c r="T7" s="59"/>
      <c r="U7" s="76">
        <f t="shared" si="0"/>
        <v>148.48659</v>
      </c>
      <c r="W7" s="86"/>
    </row>
    <row r="8" spans="1:23" ht="12.75">
      <c r="A8" s="2">
        <v>6</v>
      </c>
      <c r="B8" s="78" t="s">
        <v>60</v>
      </c>
      <c r="C8" s="55">
        <f>'2013年10月'!U8</f>
        <v>111.56140000000002</v>
      </c>
      <c r="D8" s="56">
        <v>1</v>
      </c>
      <c r="E8" s="57"/>
      <c r="F8" s="58">
        <f t="shared" si="1"/>
        <v>-9.09091</v>
      </c>
      <c r="G8" s="56">
        <v>1</v>
      </c>
      <c r="H8" s="57"/>
      <c r="I8" s="58">
        <f t="shared" si="2"/>
        <v>-16.6667</v>
      </c>
      <c r="J8" s="56">
        <v>1</v>
      </c>
      <c r="K8" s="57"/>
      <c r="L8" s="58">
        <f t="shared" si="3"/>
        <v>-15</v>
      </c>
      <c r="M8" s="56">
        <v>1</v>
      </c>
      <c r="N8" s="57"/>
      <c r="O8" s="58">
        <f t="shared" si="4"/>
        <v>-13.5714</v>
      </c>
      <c r="P8" s="89">
        <v>1</v>
      </c>
      <c r="Q8" s="98"/>
      <c r="R8" s="58">
        <f t="shared" si="5"/>
        <v>-13.6364</v>
      </c>
      <c r="S8" s="60"/>
      <c r="T8" s="59"/>
      <c r="U8" s="76">
        <f t="shared" si="0"/>
        <v>43.59599000000002</v>
      </c>
      <c r="W8" s="86"/>
    </row>
    <row r="9" spans="1:23" ht="12.75">
      <c r="A9" s="2">
        <v>7</v>
      </c>
      <c r="B9" s="109" t="s">
        <v>61</v>
      </c>
      <c r="C9" s="67">
        <f>'2013年10月'!U9</f>
        <v>99.55439999999999</v>
      </c>
      <c r="D9" s="68">
        <v>1</v>
      </c>
      <c r="E9" s="69"/>
      <c r="F9" s="70">
        <f t="shared" si="1"/>
        <v>-9.09091</v>
      </c>
      <c r="G9" s="68"/>
      <c r="H9" s="69"/>
      <c r="I9" s="70">
        <f t="shared" si="2"/>
        <v>0</v>
      </c>
      <c r="J9" s="68">
        <v>1</v>
      </c>
      <c r="K9" s="69"/>
      <c r="L9" s="70">
        <f t="shared" si="3"/>
        <v>-15</v>
      </c>
      <c r="M9" s="68">
        <v>1</v>
      </c>
      <c r="N9" s="69"/>
      <c r="O9" s="70">
        <f t="shared" si="4"/>
        <v>-13.5714</v>
      </c>
      <c r="P9" s="90">
        <v>1</v>
      </c>
      <c r="Q9" s="99"/>
      <c r="R9" s="70">
        <f t="shared" si="5"/>
        <v>-13.6364</v>
      </c>
      <c r="S9" s="68"/>
      <c r="T9" s="71"/>
      <c r="U9" s="76">
        <f t="shared" si="0"/>
        <v>48.255689999999994</v>
      </c>
      <c r="W9" s="86"/>
    </row>
    <row r="10" spans="1:23" ht="12.75">
      <c r="A10" s="2">
        <v>8</v>
      </c>
      <c r="B10" s="81" t="s">
        <v>96</v>
      </c>
      <c r="C10" s="67">
        <f>'2013年10月'!U10</f>
        <v>71.32950000000008</v>
      </c>
      <c r="D10" s="72">
        <v>1</v>
      </c>
      <c r="E10" s="69"/>
      <c r="F10" s="70">
        <f t="shared" si="1"/>
        <v>-9.09091</v>
      </c>
      <c r="G10" s="72">
        <v>1</v>
      </c>
      <c r="H10" s="69"/>
      <c r="I10" s="70">
        <f t="shared" si="2"/>
        <v>-16.6667</v>
      </c>
      <c r="J10" s="72">
        <v>1</v>
      </c>
      <c r="K10" s="69"/>
      <c r="L10" s="70">
        <f t="shared" si="3"/>
        <v>-15</v>
      </c>
      <c r="M10" s="72">
        <v>1</v>
      </c>
      <c r="N10" s="69"/>
      <c r="O10" s="70">
        <f t="shared" si="4"/>
        <v>-13.5714</v>
      </c>
      <c r="P10" s="91">
        <v>1</v>
      </c>
      <c r="Q10" s="100">
        <v>200</v>
      </c>
      <c r="R10" s="70">
        <f t="shared" si="5"/>
        <v>-13.6364</v>
      </c>
      <c r="S10" s="72"/>
      <c r="T10" s="71"/>
      <c r="U10" s="76">
        <f t="shared" si="0"/>
        <v>203.36409000000006</v>
      </c>
      <c r="W10" s="86"/>
    </row>
    <row r="11" spans="1:23" ht="12.75">
      <c r="A11" s="2">
        <v>9</v>
      </c>
      <c r="B11" s="109" t="s">
        <v>63</v>
      </c>
      <c r="C11" s="67">
        <f>'2013年10月'!U11</f>
        <v>34.40950000000006</v>
      </c>
      <c r="D11" s="68">
        <v>1</v>
      </c>
      <c r="E11" s="69"/>
      <c r="F11" s="70">
        <f t="shared" si="1"/>
        <v>-9.09091</v>
      </c>
      <c r="G11" s="68">
        <v>1</v>
      </c>
      <c r="H11" s="69"/>
      <c r="I11" s="70">
        <f t="shared" si="2"/>
        <v>-16.6667</v>
      </c>
      <c r="J11" s="68"/>
      <c r="K11" s="69"/>
      <c r="L11" s="70">
        <f t="shared" si="3"/>
        <v>0</v>
      </c>
      <c r="M11" s="68">
        <v>1</v>
      </c>
      <c r="N11" s="69">
        <v>200</v>
      </c>
      <c r="O11" s="70">
        <f t="shared" si="4"/>
        <v>-13.5714</v>
      </c>
      <c r="P11" s="90">
        <v>1</v>
      </c>
      <c r="Q11" s="99"/>
      <c r="R11" s="70">
        <f t="shared" si="5"/>
        <v>-13.6364</v>
      </c>
      <c r="S11" s="68"/>
      <c r="T11" s="71"/>
      <c r="U11" s="76">
        <f t="shared" si="0"/>
        <v>181.44409000000005</v>
      </c>
      <c r="W11" s="86"/>
    </row>
    <row r="12" spans="1:23" ht="12.75">
      <c r="A12" s="2">
        <v>10</v>
      </c>
      <c r="B12" s="79" t="s">
        <v>193</v>
      </c>
      <c r="C12" s="61">
        <f>'2013年10月'!U12</f>
        <v>63.23019999999999</v>
      </c>
      <c r="D12" s="62">
        <v>1</v>
      </c>
      <c r="E12" s="63"/>
      <c r="F12" s="64">
        <f t="shared" si="1"/>
        <v>-9.09091</v>
      </c>
      <c r="G12" s="62">
        <v>1</v>
      </c>
      <c r="H12" s="63"/>
      <c r="I12" s="64">
        <f t="shared" si="2"/>
        <v>-16.6667</v>
      </c>
      <c r="J12" s="62"/>
      <c r="K12" s="63"/>
      <c r="L12" s="64">
        <f t="shared" si="3"/>
        <v>0</v>
      </c>
      <c r="M12" s="62">
        <v>1</v>
      </c>
      <c r="N12" s="63"/>
      <c r="O12" s="64">
        <f t="shared" si="4"/>
        <v>-13.5714</v>
      </c>
      <c r="P12" s="92">
        <v>1</v>
      </c>
      <c r="Q12" s="101"/>
      <c r="R12" s="64">
        <f t="shared" si="5"/>
        <v>-13.6364</v>
      </c>
      <c r="S12" s="62"/>
      <c r="T12" s="66"/>
      <c r="U12" s="76">
        <f t="shared" si="0"/>
        <v>10.264789999999989</v>
      </c>
      <c r="W12" s="86"/>
    </row>
    <row r="13" spans="1:23" ht="12.75">
      <c r="A13" s="2">
        <v>11</v>
      </c>
      <c r="B13" s="79" t="s">
        <v>65</v>
      </c>
      <c r="C13" s="61">
        <f>'2013年10月'!U13</f>
        <v>78.03819999999999</v>
      </c>
      <c r="D13" s="62">
        <v>1</v>
      </c>
      <c r="E13" s="63"/>
      <c r="F13" s="64">
        <f t="shared" si="1"/>
        <v>-9.09091</v>
      </c>
      <c r="G13" s="62">
        <v>1</v>
      </c>
      <c r="H13" s="63"/>
      <c r="I13" s="64">
        <f t="shared" si="2"/>
        <v>-16.6667</v>
      </c>
      <c r="J13" s="62">
        <v>1</v>
      </c>
      <c r="K13" s="63"/>
      <c r="L13" s="64">
        <f t="shared" si="3"/>
        <v>-15</v>
      </c>
      <c r="M13" s="62">
        <v>1</v>
      </c>
      <c r="N13" s="106"/>
      <c r="O13" s="64">
        <f t="shared" si="4"/>
        <v>-13.5714</v>
      </c>
      <c r="P13" s="92">
        <v>1</v>
      </c>
      <c r="Q13" s="101"/>
      <c r="R13" s="64">
        <f t="shared" si="5"/>
        <v>-13.6364</v>
      </c>
      <c r="S13" s="65"/>
      <c r="T13" s="66"/>
      <c r="U13" s="76">
        <f t="shared" si="0"/>
        <v>10.072789999999996</v>
      </c>
      <c r="W13" s="86"/>
    </row>
    <row r="14" spans="1:23" ht="12.75">
      <c r="A14" s="2">
        <v>12</v>
      </c>
      <c r="B14" s="79" t="s">
        <v>66</v>
      </c>
      <c r="C14" s="61">
        <f>'2013年10月'!U14</f>
        <v>38.175299999999986</v>
      </c>
      <c r="D14" s="62">
        <v>1</v>
      </c>
      <c r="E14" s="63"/>
      <c r="F14" s="64">
        <f t="shared" si="1"/>
        <v>-9.09091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29.084389999999985</v>
      </c>
      <c r="W14" s="86"/>
    </row>
    <row r="15" spans="1:23" ht="12.75">
      <c r="A15" s="2">
        <v>13</v>
      </c>
      <c r="B15" s="80" t="s">
        <v>67</v>
      </c>
      <c r="C15" s="43">
        <f>'2013年10月'!U15</f>
        <v>28.826600000000028</v>
      </c>
      <c r="D15" s="44">
        <v>1</v>
      </c>
      <c r="E15" s="45"/>
      <c r="F15" s="46">
        <f t="shared" si="1"/>
        <v>-9.09091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-15</v>
      </c>
      <c r="M15" s="44"/>
      <c r="N15" s="45"/>
      <c r="O15" s="46">
        <f t="shared" si="4"/>
        <v>0</v>
      </c>
      <c r="P15" s="93">
        <v>1</v>
      </c>
      <c r="Q15" s="102">
        <v>100</v>
      </c>
      <c r="R15" s="46">
        <f t="shared" si="5"/>
        <v>-13.6364</v>
      </c>
      <c r="S15" s="48"/>
      <c r="T15" s="47"/>
      <c r="U15" s="76">
        <f t="shared" si="0"/>
        <v>91.09929000000004</v>
      </c>
      <c r="W15" s="86"/>
    </row>
    <row r="16" spans="1:23" ht="12.75">
      <c r="A16" s="2">
        <v>14</v>
      </c>
      <c r="B16" s="80" t="s">
        <v>53</v>
      </c>
      <c r="C16" s="43">
        <f>'2013年10月'!U16</f>
        <v>12.358800000000008</v>
      </c>
      <c r="D16" s="44">
        <v>1</v>
      </c>
      <c r="E16" s="45"/>
      <c r="F16" s="46">
        <f t="shared" si="1"/>
        <v>-9.09091</v>
      </c>
      <c r="G16" s="44">
        <v>1</v>
      </c>
      <c r="H16" s="45">
        <v>100</v>
      </c>
      <c r="I16" s="46">
        <f t="shared" si="2"/>
        <v>-16.6667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-13.5714</v>
      </c>
      <c r="P16" s="93">
        <v>1</v>
      </c>
      <c r="Q16" s="102"/>
      <c r="R16" s="46">
        <f t="shared" si="5"/>
        <v>-13.6364</v>
      </c>
      <c r="S16" s="44"/>
      <c r="T16" s="47"/>
      <c r="U16" s="76">
        <f t="shared" si="0"/>
        <v>44.393390000000004</v>
      </c>
      <c r="W16" s="86"/>
    </row>
    <row r="17" spans="1:23" ht="12.75">
      <c r="A17" s="2">
        <v>15</v>
      </c>
      <c r="B17" s="80" t="s">
        <v>94</v>
      </c>
      <c r="C17" s="43">
        <f>'2013年10月'!U17</f>
        <v>146.3503</v>
      </c>
      <c r="D17" s="44">
        <v>1</v>
      </c>
      <c r="E17" s="45"/>
      <c r="F17" s="46">
        <f t="shared" si="1"/>
        <v>-9.09091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-13.5714</v>
      </c>
      <c r="P17" s="93"/>
      <c r="Q17" s="102"/>
      <c r="R17" s="46">
        <f t="shared" si="5"/>
        <v>0</v>
      </c>
      <c r="S17" s="48"/>
      <c r="T17" s="47"/>
      <c r="U17" s="76">
        <f t="shared" si="0"/>
        <v>123.68799</v>
      </c>
      <c r="W17" s="86"/>
    </row>
    <row r="18" spans="1:23" ht="12.75">
      <c r="A18" s="2">
        <v>16</v>
      </c>
      <c r="B18" s="77" t="s">
        <v>182</v>
      </c>
      <c r="C18" s="49">
        <f>'2013年10月'!U18</f>
        <v>48.4013</v>
      </c>
      <c r="D18" s="50">
        <v>1</v>
      </c>
      <c r="E18" s="51"/>
      <c r="F18" s="52">
        <f t="shared" si="1"/>
        <v>-9.09091</v>
      </c>
      <c r="G18" s="50">
        <v>1</v>
      </c>
      <c r="H18" s="51"/>
      <c r="I18" s="52">
        <f t="shared" si="2"/>
        <v>-16.6667</v>
      </c>
      <c r="J18" s="50">
        <v>1</v>
      </c>
      <c r="K18" s="51"/>
      <c r="L18" s="52">
        <f t="shared" si="3"/>
        <v>-15</v>
      </c>
      <c r="M18" s="50"/>
      <c r="N18" s="51"/>
      <c r="O18" s="52">
        <f t="shared" si="4"/>
        <v>0</v>
      </c>
      <c r="P18" s="87">
        <v>1</v>
      </c>
      <c r="Q18" s="96">
        <v>100</v>
      </c>
      <c r="R18" s="52">
        <f t="shared" si="5"/>
        <v>-13.6364</v>
      </c>
      <c r="S18" s="50"/>
      <c r="T18" s="53"/>
      <c r="U18" s="76">
        <f t="shared" si="0"/>
        <v>94.00729</v>
      </c>
      <c r="W18" s="86"/>
    </row>
    <row r="19" spans="1:23" ht="12.75">
      <c r="A19" s="2">
        <v>17</v>
      </c>
      <c r="B19" s="77" t="s">
        <v>69</v>
      </c>
      <c r="C19" s="49">
        <f>'2013年10月'!U19</f>
        <v>-7.091799999999951</v>
      </c>
      <c r="D19" s="50">
        <v>1</v>
      </c>
      <c r="E19" s="51">
        <v>100</v>
      </c>
      <c r="F19" s="52">
        <f t="shared" si="1"/>
        <v>-9.09091</v>
      </c>
      <c r="G19" s="50">
        <v>1</v>
      </c>
      <c r="H19" s="51"/>
      <c r="I19" s="52">
        <f t="shared" si="2"/>
        <v>-16.6667</v>
      </c>
      <c r="J19" s="50">
        <v>1</v>
      </c>
      <c r="K19" s="51"/>
      <c r="L19" s="52">
        <f t="shared" si="3"/>
        <v>-15</v>
      </c>
      <c r="M19" s="50">
        <v>1</v>
      </c>
      <c r="N19" s="51"/>
      <c r="O19" s="52">
        <f t="shared" si="4"/>
        <v>-13.5714</v>
      </c>
      <c r="P19" s="87">
        <v>1</v>
      </c>
      <c r="Q19" s="96"/>
      <c r="R19" s="52">
        <f t="shared" si="5"/>
        <v>-13.6364</v>
      </c>
      <c r="S19" s="54"/>
      <c r="T19" s="53"/>
      <c r="U19" s="76">
        <f t="shared" si="0"/>
        <v>24.942790000000052</v>
      </c>
      <c r="W19" s="86"/>
    </row>
    <row r="20" spans="1:23" ht="12.75">
      <c r="A20" s="2">
        <v>18</v>
      </c>
      <c r="B20" s="77" t="s">
        <v>97</v>
      </c>
      <c r="C20" s="49">
        <f>'2013年10月'!U20</f>
        <v>2.828000000000001</v>
      </c>
      <c r="D20" s="50">
        <v>1</v>
      </c>
      <c r="E20" s="51"/>
      <c r="F20" s="52">
        <f t="shared" si="1"/>
        <v>-9.09091</v>
      </c>
      <c r="G20" s="50"/>
      <c r="H20" s="51"/>
      <c r="I20" s="52">
        <f t="shared" si="2"/>
        <v>0</v>
      </c>
      <c r="J20" s="50">
        <v>1</v>
      </c>
      <c r="K20" s="51">
        <v>100</v>
      </c>
      <c r="L20" s="52">
        <f t="shared" si="3"/>
        <v>-15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78.73709</v>
      </c>
      <c r="W20" s="86"/>
    </row>
    <row r="21" spans="1:23" ht="12.75">
      <c r="A21" s="2">
        <v>19</v>
      </c>
      <c r="B21" s="78" t="s">
        <v>169</v>
      </c>
      <c r="C21" s="55">
        <f>'2013年10月'!U21</f>
        <v>46.68120000000002</v>
      </c>
      <c r="D21" s="56">
        <v>1</v>
      </c>
      <c r="E21" s="57"/>
      <c r="F21" s="58">
        <f t="shared" si="1"/>
        <v>-9.09091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-13.5714</v>
      </c>
      <c r="P21" s="89"/>
      <c r="Q21" s="98"/>
      <c r="R21" s="58">
        <f t="shared" si="5"/>
        <v>0</v>
      </c>
      <c r="S21" s="60"/>
      <c r="T21" s="59"/>
      <c r="U21" s="76">
        <f t="shared" si="0"/>
        <v>24.018890000000017</v>
      </c>
      <c r="W21" s="86"/>
    </row>
    <row r="22" spans="1:23" ht="12.75">
      <c r="A22" s="2">
        <v>20</v>
      </c>
      <c r="B22" s="78" t="s">
        <v>72</v>
      </c>
      <c r="C22" s="55">
        <f>'2013年10月'!U22</f>
        <v>-9.703800000000024</v>
      </c>
      <c r="D22" s="56">
        <v>1</v>
      </c>
      <c r="E22" s="57"/>
      <c r="F22" s="58">
        <f t="shared" si="1"/>
        <v>-9.09091</v>
      </c>
      <c r="G22" s="56">
        <v>1</v>
      </c>
      <c r="H22" s="57"/>
      <c r="I22" s="58">
        <f t="shared" si="2"/>
        <v>-16.6667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/>
      <c r="U22" s="76">
        <f t="shared" si="0"/>
        <v>-35.46141000000002</v>
      </c>
      <c r="W22" s="86"/>
    </row>
    <row r="23" spans="1:23" ht="12.75">
      <c r="A23" s="2">
        <v>21</v>
      </c>
      <c r="B23" s="78" t="s">
        <v>73</v>
      </c>
      <c r="C23" s="55">
        <f>'2013年10月'!U23</f>
        <v>177.20020000000002</v>
      </c>
      <c r="D23" s="56">
        <v>1</v>
      </c>
      <c r="E23" s="57"/>
      <c r="F23" s="58">
        <f t="shared" si="1"/>
        <v>-9.09091</v>
      </c>
      <c r="G23" s="56">
        <v>1</v>
      </c>
      <c r="H23" s="57"/>
      <c r="I23" s="58">
        <f t="shared" si="2"/>
        <v>-16.6667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-13.5714</v>
      </c>
      <c r="P23" s="89"/>
      <c r="Q23" s="98"/>
      <c r="R23" s="58">
        <f t="shared" si="5"/>
        <v>0</v>
      </c>
      <c r="S23" s="60"/>
      <c r="T23" s="59"/>
      <c r="U23" s="76">
        <f t="shared" si="0"/>
        <v>122.87119000000003</v>
      </c>
      <c r="W23" s="86"/>
    </row>
    <row r="24" spans="1:23" ht="12.75">
      <c r="A24" s="2">
        <v>22</v>
      </c>
      <c r="B24" s="81" t="s">
        <v>74</v>
      </c>
      <c r="C24" s="67">
        <f>'2013年10月'!U24</f>
        <v>94.42180000000005</v>
      </c>
      <c r="D24" s="68">
        <v>1</v>
      </c>
      <c r="E24" s="69"/>
      <c r="F24" s="70">
        <f t="shared" si="1"/>
        <v>-9.09091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-13.6364</v>
      </c>
      <c r="S24" s="68"/>
      <c r="T24" s="71"/>
      <c r="U24" s="76">
        <f t="shared" si="0"/>
        <v>71.69449000000006</v>
      </c>
      <c r="W24" s="86"/>
    </row>
    <row r="25" spans="1:23" ht="12.75">
      <c r="A25" s="2">
        <v>23</v>
      </c>
      <c r="B25" s="81" t="s">
        <v>75</v>
      </c>
      <c r="C25" s="67">
        <f>'2013年10月'!U25</f>
        <v>114.1337</v>
      </c>
      <c r="D25" s="68">
        <v>1</v>
      </c>
      <c r="E25" s="69"/>
      <c r="F25" s="70">
        <f t="shared" si="1"/>
        <v>-9.09091</v>
      </c>
      <c r="G25" s="68">
        <v>1</v>
      </c>
      <c r="H25" s="69"/>
      <c r="I25" s="70">
        <f t="shared" si="2"/>
        <v>-16.6667</v>
      </c>
      <c r="J25" s="68"/>
      <c r="K25" s="69"/>
      <c r="L25" s="70">
        <f t="shared" si="3"/>
        <v>0</v>
      </c>
      <c r="M25" s="68">
        <v>1</v>
      </c>
      <c r="N25" s="69"/>
      <c r="O25" s="70">
        <f t="shared" si="4"/>
        <v>-13.5714</v>
      </c>
      <c r="P25" s="90">
        <v>1</v>
      </c>
      <c r="Q25" s="99"/>
      <c r="R25" s="70">
        <f t="shared" si="5"/>
        <v>-13.6364</v>
      </c>
      <c r="S25" s="68"/>
      <c r="T25" s="71"/>
      <c r="U25" s="76">
        <f t="shared" si="0"/>
        <v>61.168290000000006</v>
      </c>
      <c r="W25" s="86"/>
    </row>
    <row r="26" spans="1:23" ht="12.75">
      <c r="A26" s="2">
        <v>24</v>
      </c>
      <c r="B26" s="81" t="s">
        <v>92</v>
      </c>
      <c r="C26" s="67">
        <f>'2013年10月'!U26</f>
        <v>7.912800000000047</v>
      </c>
      <c r="D26" s="68">
        <v>1</v>
      </c>
      <c r="E26" s="69"/>
      <c r="F26" s="70">
        <f t="shared" si="1"/>
        <v>-9.09091</v>
      </c>
      <c r="G26" s="68">
        <v>1</v>
      </c>
      <c r="H26" s="69"/>
      <c r="I26" s="70">
        <f t="shared" si="2"/>
        <v>-16.6667</v>
      </c>
      <c r="J26" s="68">
        <v>1</v>
      </c>
      <c r="K26" s="69"/>
      <c r="L26" s="70">
        <f t="shared" si="3"/>
        <v>-15</v>
      </c>
      <c r="M26" s="68">
        <v>1</v>
      </c>
      <c r="N26" s="69"/>
      <c r="O26" s="70">
        <f>-13.5714*M26-5</f>
        <v>-18.5714</v>
      </c>
      <c r="P26" s="90">
        <v>1</v>
      </c>
      <c r="Q26" s="99"/>
      <c r="R26" s="70">
        <f t="shared" si="5"/>
        <v>-13.6364</v>
      </c>
      <c r="S26" s="72"/>
      <c r="T26" s="71"/>
      <c r="U26" s="76">
        <f t="shared" si="0"/>
        <v>-65.05260999999994</v>
      </c>
      <c r="W26" s="86"/>
    </row>
    <row r="27" spans="1:23" ht="12.75">
      <c r="A27" s="2">
        <v>25</v>
      </c>
      <c r="B27" s="79" t="s">
        <v>98</v>
      </c>
      <c r="C27" s="61">
        <f>'2013年10月'!U27</f>
        <v>66.82319999999999</v>
      </c>
      <c r="D27" s="62">
        <v>1</v>
      </c>
      <c r="E27" s="73"/>
      <c r="F27" s="64">
        <f t="shared" si="1"/>
        <v>-9.09091</v>
      </c>
      <c r="G27" s="62">
        <v>1</v>
      </c>
      <c r="H27" s="73"/>
      <c r="I27" s="64">
        <f t="shared" si="2"/>
        <v>-16.6667</v>
      </c>
      <c r="J27" s="62"/>
      <c r="K27" s="73"/>
      <c r="L27" s="64">
        <f t="shared" si="3"/>
        <v>0</v>
      </c>
      <c r="M27" s="62"/>
      <c r="N27" s="73"/>
      <c r="O27" s="64">
        <f t="shared" si="4"/>
        <v>0</v>
      </c>
      <c r="P27" s="92">
        <v>1</v>
      </c>
      <c r="Q27" s="101"/>
      <c r="R27" s="64">
        <f t="shared" si="5"/>
        <v>-13.6364</v>
      </c>
      <c r="S27" s="62"/>
      <c r="T27" s="66"/>
      <c r="U27" s="76">
        <f t="shared" si="0"/>
        <v>27.429189999999984</v>
      </c>
      <c r="W27" s="86"/>
    </row>
    <row r="28" spans="1:23" ht="12.75">
      <c r="A28" s="2">
        <v>26</v>
      </c>
      <c r="B28" s="79" t="s">
        <v>99</v>
      </c>
      <c r="C28" s="61">
        <f>'2013年10月'!U28</f>
        <v>151.01380000000006</v>
      </c>
      <c r="D28" s="65">
        <v>1</v>
      </c>
      <c r="E28" s="73"/>
      <c r="F28" s="64">
        <f t="shared" si="1"/>
        <v>-9.09091</v>
      </c>
      <c r="G28" s="65">
        <v>1</v>
      </c>
      <c r="H28" s="73"/>
      <c r="I28" s="64">
        <f t="shared" si="2"/>
        <v>-16.6667</v>
      </c>
      <c r="J28" s="65"/>
      <c r="K28" s="73"/>
      <c r="L28" s="64">
        <f t="shared" si="3"/>
        <v>0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/>
      <c r="T28" s="66"/>
      <c r="U28" s="76">
        <f t="shared" si="0"/>
        <v>125.25619000000006</v>
      </c>
      <c r="W28" s="86"/>
    </row>
    <row r="29" spans="1:23" ht="12.75">
      <c r="A29" s="2">
        <v>27</v>
      </c>
      <c r="B29" s="79" t="s">
        <v>100</v>
      </c>
      <c r="C29" s="61">
        <f>'2013年10月'!U29</f>
        <v>17.506599999999985</v>
      </c>
      <c r="D29" s="62">
        <v>1</v>
      </c>
      <c r="E29" s="63"/>
      <c r="F29" s="64">
        <f t="shared" si="1"/>
        <v>-9.09091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2">
        <v>1</v>
      </c>
      <c r="Q29" s="101">
        <v>200</v>
      </c>
      <c r="R29" s="64">
        <f t="shared" si="5"/>
        <v>-13.6364</v>
      </c>
      <c r="S29" s="62"/>
      <c r="T29" s="66"/>
      <c r="U29" s="76">
        <f t="shared" si="0"/>
        <v>194.77928999999997</v>
      </c>
      <c r="W29" s="86"/>
    </row>
    <row r="30" spans="1:23" ht="12.75">
      <c r="A30" s="2">
        <v>28</v>
      </c>
      <c r="B30" s="80" t="s">
        <v>80</v>
      </c>
      <c r="C30" s="43">
        <f>'2013年10月'!U30</f>
        <v>151.42260000000002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151.42260000000002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'2013年10月'!U31</f>
        <v>67.07300000000001</v>
      </c>
      <c r="D31" s="44">
        <v>1</v>
      </c>
      <c r="E31" s="74"/>
      <c r="F31" s="46">
        <f t="shared" si="1"/>
        <v>-9.09091</v>
      </c>
      <c r="G31" s="44"/>
      <c r="H31" s="74"/>
      <c r="I31" s="46">
        <f t="shared" si="2"/>
        <v>0</v>
      </c>
      <c r="J31" s="44">
        <v>1</v>
      </c>
      <c r="K31" s="74"/>
      <c r="L31" s="46">
        <f t="shared" si="3"/>
        <v>-15</v>
      </c>
      <c r="M31" s="44"/>
      <c r="N31" s="74"/>
      <c r="O31" s="46">
        <f t="shared" si="4"/>
        <v>0</v>
      </c>
      <c r="P31" s="93">
        <v>1</v>
      </c>
      <c r="Q31" s="102"/>
      <c r="R31" s="46">
        <f t="shared" si="5"/>
        <v>-13.6364</v>
      </c>
      <c r="S31" s="44"/>
      <c r="T31" s="47"/>
      <c r="U31" s="76">
        <f t="shared" si="0"/>
        <v>29.345690000000005</v>
      </c>
      <c r="W31" s="86"/>
    </row>
    <row r="32" spans="1:23" ht="12.75">
      <c r="A32" s="2">
        <v>30</v>
      </c>
      <c r="B32" s="80" t="s">
        <v>170</v>
      </c>
      <c r="C32" s="43">
        <f>'2013年10月'!U32</f>
        <v>48.47900000000001</v>
      </c>
      <c r="D32" s="48">
        <v>1</v>
      </c>
      <c r="E32" s="74"/>
      <c r="F32" s="46">
        <f t="shared" si="1"/>
        <v>-9.09091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39.38809000000001</v>
      </c>
      <c r="W32" s="86"/>
    </row>
    <row r="33" spans="1:23" ht="12.75">
      <c r="A33" s="2">
        <v>31</v>
      </c>
      <c r="B33" s="77" t="s">
        <v>104</v>
      </c>
      <c r="C33" s="49">
        <f>'2013年10月'!U33</f>
        <v>23.693099999999994</v>
      </c>
      <c r="D33" s="50">
        <v>1</v>
      </c>
      <c r="E33" s="51"/>
      <c r="F33" s="52">
        <f t="shared" si="1"/>
        <v>-9.09091</v>
      </c>
      <c r="G33" s="50"/>
      <c r="H33" s="51"/>
      <c r="I33" s="52">
        <f t="shared" si="2"/>
        <v>0</v>
      </c>
      <c r="J33" s="50">
        <v>1</v>
      </c>
      <c r="K33" s="51"/>
      <c r="L33" s="52">
        <f t="shared" si="3"/>
        <v>-15</v>
      </c>
      <c r="M33" s="50">
        <v>1</v>
      </c>
      <c r="N33" s="51"/>
      <c r="O33" s="52">
        <f t="shared" si="4"/>
        <v>-13.5714</v>
      </c>
      <c r="P33" s="87"/>
      <c r="Q33" s="96"/>
      <c r="R33" s="52">
        <f t="shared" si="5"/>
        <v>0</v>
      </c>
      <c r="S33" s="50"/>
      <c r="T33" s="53"/>
      <c r="U33" s="76">
        <f t="shared" si="0"/>
        <v>-13.969210000000006</v>
      </c>
      <c r="W33" s="86"/>
    </row>
    <row r="34" spans="1:23" ht="12.75">
      <c r="A34" s="2">
        <v>32</v>
      </c>
      <c r="B34" s="77" t="s">
        <v>190</v>
      </c>
      <c r="C34" s="49">
        <f>'2013年10月'!U34</f>
        <v>48.50759999999999</v>
      </c>
      <c r="D34" s="50">
        <v>1</v>
      </c>
      <c r="E34" s="51"/>
      <c r="F34" s="52">
        <f t="shared" si="1"/>
        <v>-9.09091</v>
      </c>
      <c r="G34" s="85">
        <v>1</v>
      </c>
      <c r="H34" s="51"/>
      <c r="I34" s="52">
        <f t="shared" si="2"/>
        <v>-16.6667</v>
      </c>
      <c r="J34" s="85">
        <v>1</v>
      </c>
      <c r="K34" s="51">
        <v>100</v>
      </c>
      <c r="L34" s="52">
        <f t="shared" si="3"/>
        <v>-15</v>
      </c>
      <c r="M34" s="50">
        <v>1</v>
      </c>
      <c r="N34" s="51"/>
      <c r="O34" s="52">
        <f t="shared" si="4"/>
        <v>-13.5714</v>
      </c>
      <c r="P34" s="87">
        <v>1</v>
      </c>
      <c r="Q34" s="96"/>
      <c r="R34" s="52">
        <f t="shared" si="5"/>
        <v>-13.6364</v>
      </c>
      <c r="S34" s="54"/>
      <c r="T34" s="53"/>
      <c r="U34" s="76">
        <f t="shared" si="0"/>
        <v>80.54219</v>
      </c>
      <c r="W34" s="86"/>
    </row>
    <row r="35" spans="1:23" ht="12.75">
      <c r="A35" s="2">
        <v>33</v>
      </c>
      <c r="B35" s="77" t="s">
        <v>188</v>
      </c>
      <c r="C35" s="49">
        <f>'2013年10月'!U35</f>
        <v>132.1187</v>
      </c>
      <c r="D35" s="50">
        <v>1</v>
      </c>
      <c r="E35" s="51"/>
      <c r="F35" s="52">
        <f t="shared" si="1"/>
        <v>-9.09091</v>
      </c>
      <c r="G35" s="50"/>
      <c r="H35" s="51"/>
      <c r="I35" s="52">
        <f t="shared" si="2"/>
        <v>0</v>
      </c>
      <c r="J35" s="50">
        <v>1</v>
      </c>
      <c r="K35" s="51"/>
      <c r="L35" s="52">
        <f t="shared" si="3"/>
        <v>-15</v>
      </c>
      <c r="M35" s="50">
        <v>1</v>
      </c>
      <c r="N35" s="51"/>
      <c r="O35" s="52">
        <f>-13.5714*M35-10</f>
        <v>-23.5714</v>
      </c>
      <c r="P35" s="87"/>
      <c r="Q35" s="96"/>
      <c r="R35" s="52">
        <f t="shared" si="5"/>
        <v>0</v>
      </c>
      <c r="S35" s="50"/>
      <c r="T35" s="53"/>
      <c r="U35" s="76">
        <f t="shared" si="0"/>
        <v>84.45639</v>
      </c>
      <c r="W35" s="86"/>
    </row>
    <row r="36" spans="1:23" ht="12.75">
      <c r="A36" s="2">
        <v>34</v>
      </c>
      <c r="B36" s="78" t="s">
        <v>101</v>
      </c>
      <c r="C36" s="55">
        <f>'2013年10月'!U36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'2013年10月'!U37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'2013年10月'!U38</f>
        <v>155.1743</v>
      </c>
      <c r="D38" s="56">
        <v>1</v>
      </c>
      <c r="E38" s="57"/>
      <c r="F38" s="58">
        <f t="shared" si="1"/>
        <v>-9.09091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146.08338999999998</v>
      </c>
      <c r="W38" s="86"/>
    </row>
    <row r="39" spans="1:23" ht="12.75">
      <c r="A39" s="2">
        <v>37</v>
      </c>
      <c r="B39" s="81" t="s">
        <v>200</v>
      </c>
      <c r="C39" s="67">
        <f>'2013年10月'!U39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>
        <v>1</v>
      </c>
      <c r="Q39" s="99">
        <v>200</v>
      </c>
      <c r="R39" s="70">
        <f t="shared" si="5"/>
        <v>-13.6364</v>
      </c>
      <c r="S39" s="68"/>
      <c r="T39" s="71"/>
      <c r="U39" s="76">
        <f t="shared" si="0"/>
        <v>186.3636</v>
      </c>
      <c r="W39" s="86"/>
    </row>
    <row r="40" spans="1:23" ht="12.75">
      <c r="A40" s="2">
        <v>38</v>
      </c>
      <c r="B40" s="81"/>
      <c r="C40" s="67">
        <f>'2013年10月'!U40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'2013年10月'!U41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33</v>
      </c>
      <c r="F43" s="1">
        <f>E54/D43</f>
        <v>9.090909090909092</v>
      </c>
      <c r="G43" s="1">
        <f>SUM(G3:G41)</f>
        <v>18</v>
      </c>
      <c r="I43" s="1">
        <f>H54/G43</f>
        <v>16.666666666666668</v>
      </c>
      <c r="J43" s="1">
        <f>SUM(J3:J41)</f>
        <v>20</v>
      </c>
      <c r="L43" s="1">
        <f>K54/J43</f>
        <v>15</v>
      </c>
      <c r="M43" s="1">
        <f>SUM(M3:M41)</f>
        <v>21</v>
      </c>
      <c r="O43" s="1">
        <f>N54/M43</f>
        <v>13.571428571428571</v>
      </c>
      <c r="P43" s="1">
        <f>SUM(P3:P41)</f>
        <v>22</v>
      </c>
      <c r="R43" s="1">
        <f>Q54/P43</f>
        <v>13.636363636363637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-300.0000300000001</v>
      </c>
      <c r="H45" s="28" t="s">
        <v>84</v>
      </c>
      <c r="I45" s="1">
        <f>SUM(I3:I41)</f>
        <v>-300.0005999999999</v>
      </c>
      <c r="K45" s="28" t="s">
        <v>84</v>
      </c>
      <c r="L45" s="1">
        <f>SUM(L3:L41)</f>
        <v>-300</v>
      </c>
      <c r="N45" s="28" t="s">
        <v>84</v>
      </c>
      <c r="O45" s="1">
        <f>SUM(O3:O41)</f>
        <v>-299.99940000000004</v>
      </c>
      <c r="Q45" s="28" t="s">
        <v>84</v>
      </c>
      <c r="R45" s="1">
        <f>SUM(R3:R41)</f>
        <v>-300.00079999999997</v>
      </c>
      <c r="U45" s="19"/>
    </row>
    <row r="46" spans="2:21" ht="12.75">
      <c r="B46" s="29" t="s">
        <v>85</v>
      </c>
      <c r="C46" s="27">
        <f>SUM(C3:C41)</f>
        <v>2300.0008000000003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2699.99997</v>
      </c>
      <c r="W47" s="86">
        <f>U47</f>
        <v>2699.99997</v>
      </c>
    </row>
    <row r="48" spans="2:20" ht="12.75" customHeight="1">
      <c r="B48" s="86"/>
      <c r="D48" s="117" t="s">
        <v>195</v>
      </c>
      <c r="E48" s="118"/>
      <c r="F48" s="119"/>
      <c r="G48" s="117" t="s">
        <v>196</v>
      </c>
      <c r="H48" s="118"/>
      <c r="I48" s="119"/>
      <c r="J48" s="117" t="s">
        <v>197</v>
      </c>
      <c r="K48" s="118"/>
      <c r="L48" s="119"/>
      <c r="M48" s="117" t="s">
        <v>198</v>
      </c>
      <c r="N48" s="118"/>
      <c r="O48" s="119"/>
      <c r="P48" s="117" t="s">
        <v>199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285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 t="s">
        <v>188</v>
      </c>
      <c r="N70" s="28">
        <v>10</v>
      </c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>
        <f>SUM(N70:N71)</f>
        <v>10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 t="s">
        <v>92</v>
      </c>
      <c r="N77" s="28">
        <v>5</v>
      </c>
      <c r="P77" s="105"/>
    </row>
    <row r="81" spans="7:14" ht="12.75">
      <c r="G81" s="28"/>
      <c r="N81" s="1">
        <f>SUM(N77:N80)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 t="s">
        <v>52</v>
      </c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w</cp:lastModifiedBy>
  <cp:lastPrinted>2006-12-29T04:34:49Z</cp:lastPrinted>
  <dcterms:created xsi:type="dcterms:W3CDTF">2006-06-30T06:02:56Z</dcterms:created>
  <dcterms:modified xsi:type="dcterms:W3CDTF">2014-08-31T15:40:37Z</dcterms:modified>
  <cp:category/>
  <cp:version/>
  <cp:contentType/>
  <cp:contentStatus/>
</cp:coreProperties>
</file>