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firstSheet="2" activeTab="14"/>
  </bookViews>
  <sheets>
    <sheet name="2011年1、2月" sheetId="1" r:id="rId1"/>
    <sheet name="2011年3月" sheetId="2" r:id="rId2"/>
    <sheet name="2011年4月" sheetId="3" r:id="rId3"/>
    <sheet name="2011年5月" sheetId="4" r:id="rId4"/>
    <sheet name="2011年6月" sheetId="5" r:id="rId5"/>
    <sheet name="2011年7月" sheetId="6" r:id="rId6"/>
    <sheet name="2011年8月" sheetId="7" r:id="rId7"/>
    <sheet name="2011年10月" sheetId="8" r:id="rId8"/>
    <sheet name="2011年11月" sheetId="9" r:id="rId9"/>
    <sheet name="2011年12月" sheetId="10" r:id="rId10"/>
    <sheet name="2012年1月" sheetId="11" r:id="rId11"/>
    <sheet name="2012年2月" sheetId="12" r:id="rId12"/>
    <sheet name="2012年3月" sheetId="13" r:id="rId13"/>
    <sheet name="2012年4月" sheetId="14" r:id="rId14"/>
    <sheet name="2012年5月" sheetId="15" r:id="rId15"/>
  </sheets>
  <definedNames/>
  <calcPr fullCalcOnLoad="1"/>
</workbook>
</file>

<file path=xl/sharedStrings.xml><?xml version="1.0" encoding="utf-8"?>
<sst xmlns="http://schemas.openxmlformats.org/spreadsheetml/2006/main" count="1745" uniqueCount="407">
  <si>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</si>
  <si>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</si>
  <si>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</si>
  <si>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</si>
  <si>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</si>
  <si>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</si>
  <si>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</si>
  <si>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</si>
  <si>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</si>
  <si>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</si>
  <si>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</si>
  <si>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</si>
  <si>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</si>
  <si>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</si>
  <si>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</si>
  <si>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</si>
  <si>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</si>
  <si>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</si>
  <si>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</si>
  <si>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</si>
  <si>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</si>
  <si>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</si>
  <si>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</si>
  <si>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</si>
  <si>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</si>
  <si>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</si>
  <si>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</si>
  <si>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</si>
  <si>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</si>
  <si>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</si>
  <si>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</si>
  <si>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</si>
  <si>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</si>
  <si>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</si>
  <si>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</si>
  <si>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</si>
  <si>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</si>
  <si>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</si>
  <si>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</si>
  <si>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</si>
  <si>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</si>
  <si>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</si>
  <si>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</si>
  <si>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</si>
  <si>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</si>
  <si>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</si>
  <si>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</si>
  <si>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</si>
  <si>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</si>
  <si>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</si>
  <si>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</si>
  <si>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</si>
  <si>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</si>
  <si>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</si>
  <si>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</si>
  <si>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</si>
  <si>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</si>
  <si>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</si>
  <si>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</si>
  <si>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</si>
  <si>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</si>
  <si>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</si>
  <si>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</si>
  <si>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</si>
  <si>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</si>
  <si>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</si>
  <si>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</si>
  <si>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</si>
  <si>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</si>
  <si>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</si>
  <si>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</si>
  <si>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</si>
  <si>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</si>
  <si>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</si>
  <si>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</si>
  <si>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</si>
  <si>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</si>
  <si>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</si>
  <si>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</si>
  <si>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</si>
  <si>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</si>
  <si>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</si>
  <si>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</si>
  <si>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</si>
  <si>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</si>
  <si>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</si>
  <si>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</si>
  <si>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</si>
  <si>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</si>
  <si>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</si>
  <si>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</si>
  <si>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</si>
  <si>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</si>
  <si>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</si>
  <si>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</si>
  <si>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</si>
  <si>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</si>
  <si>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</si>
  <si>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</si>
  <si>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</si>
  <si>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</si>
  <si>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</si>
  <si>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</si>
  <si>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</si>
  <si>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</si>
  <si>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</si>
  <si>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</si>
  <si>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</si>
  <si>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</si>
  <si>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</si>
  <si>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</si>
  <si>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</si>
  <si>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</si>
  <si>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</si>
  <si>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</si>
  <si>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</si>
  <si>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</si>
  <si>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</si>
  <si>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</si>
  <si>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</si>
  <si>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</si>
  <si>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</si>
  <si>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</si>
  <si>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</si>
  <si>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</si>
  <si>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</si>
  <si>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</si>
  <si>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</si>
  <si>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</si>
  <si>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</si>
  <si>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</si>
  <si>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</si>
  <si>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</si>
  <si>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</si>
  <si>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</si>
  <si>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</si>
  <si>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</si>
  <si>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</si>
  <si>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</si>
  <si>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</si>
  <si>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</si>
  <si>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</si>
  <si>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</si>
  <si>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</si>
  <si>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</si>
  <si>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</si>
  <si>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</si>
  <si>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</si>
  <si>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</si>
  <si>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</si>
  <si>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</si>
  <si>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</si>
  <si>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</si>
  <si>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</si>
  <si>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</si>
  <si>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</si>
  <si>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</si>
  <si>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</si>
  <si>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</si>
  <si>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</si>
  <si>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</si>
  <si>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</si>
  <si>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</si>
  <si>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</si>
  <si>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</si>
  <si>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</si>
  <si>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</si>
  <si>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奥迪TT</t>
  </si>
  <si>
    <t>思无邪</t>
  </si>
  <si>
    <t>群鹿</t>
  </si>
  <si>
    <t>清净无为</t>
  </si>
  <si>
    <t>贝隆</t>
  </si>
  <si>
    <t>ljlw</t>
  </si>
  <si>
    <t>参与总人数</t>
  </si>
  <si>
    <t>人均费用</t>
  </si>
  <si>
    <t>费用校对</t>
  </si>
  <si>
    <t>上期余额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</si>
  <si>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</si>
  <si>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</si>
  <si>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</si>
  <si>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</si>
  <si>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贝纳通的GG</t>
  </si>
  <si>
    <t>北冰洋</t>
  </si>
  <si>
    <t>观民甲</t>
  </si>
  <si>
    <t>白杨木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</si>
  <si>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</si>
  <si>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北冰洋</t>
  </si>
  <si>
    <t>观民甲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</si>
  <si>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</si>
  <si>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</si>
  <si>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</si>
  <si>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</si>
  <si>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t>POLO</t>
  </si>
  <si>
    <t>晴天雨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</si>
  <si>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</si>
  <si>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</si>
  <si>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刘树明</t>
  </si>
  <si>
    <t>刘树明</t>
  </si>
  <si>
    <t>刘树明第二次参与活动，但是还不懂要网上报名顶贴啥的，暂不扣费。下次开始。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</si>
  <si>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</si>
  <si>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</si>
  <si>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</si>
  <si>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</si>
  <si>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</si>
  <si>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帕维尔</t>
  </si>
  <si>
    <t>openhawk，退会，剩余费用45.33充公；不懂事的弟弟，退会，剩余费用2.82充公</t>
  </si>
  <si>
    <t>安德鲁、寂静的山岗，退会，剩余费用0；Geedso退会，剩余费用-16.69在7月31号活动中A</t>
  </si>
  <si>
    <t>龙虾，退会，剩余费用23.59元，充公；ljlw，退会，剩余费用-56.24在7月31号活动中A</t>
  </si>
  <si>
    <t>jeffleee，退会，剩余费用也是负的，-56.10在7月31号活动中A</t>
  </si>
  <si>
    <t>合计-57.29元在本次同A</t>
  </si>
  <si>
    <r>
      <t>本次同</t>
    </r>
    <r>
      <rPr>
        <sz val="10"/>
        <rFont val="Arial"/>
        <family val="2"/>
      </rPr>
      <t>A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</si>
  <si>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</si>
  <si>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</si>
  <si>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</si>
  <si>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</si>
  <si>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</si>
  <si>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贝隆同学喜得闺女，请客。
感谢并祝贺！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</si>
  <si>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</si>
  <si>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</si>
  <si>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</si>
  <si>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</si>
  <si>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</si>
  <si>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</si>
  <si>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</si>
  <si>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</si>
  <si>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</si>
  <si>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</si>
  <si>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</si>
  <si>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</si>
  <si>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</si>
  <si>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</si>
  <si>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</si>
  <si>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</si>
  <si>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</si>
  <si>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</si>
  <si>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</si>
  <si>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</si>
  <si>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大海888</t>
  </si>
  <si>
    <t>宇风</t>
  </si>
  <si>
    <t>马尔代夫国脚</t>
  </si>
  <si>
    <t>思无邪</t>
  </si>
  <si>
    <t>群鹿</t>
  </si>
  <si>
    <t>清净无为</t>
  </si>
  <si>
    <t>龙龙四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</si>
  <si>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</si>
  <si>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</si>
  <si>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</si>
  <si>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</si>
  <si>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</si>
  <si>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</si>
  <si>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</si>
  <si>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</si>
  <si>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</si>
  <si>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</si>
  <si>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</si>
  <si>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</si>
  <si>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</si>
  <si>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</si>
  <si>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</si>
  <si>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有临时加入的散客6人x20=120元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</si>
  <si>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</si>
  <si>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</si>
  <si>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散客收费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</si>
  <si>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</si>
  <si>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</si>
  <si>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大海888同学留言给我，腿伤一直未能康复，暂时退出。剩余费用1.3453本次活动充公。祝大海同学早日康复。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</si>
  <si>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</si>
  <si>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</si>
  <si>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</si>
  <si>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</si>
  <si>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</si>
  <si>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</si>
  <si>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</si>
  <si>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</si>
  <si>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</si>
  <si>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</si>
  <si>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</si>
  <si>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</si>
  <si>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</si>
  <si>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</si>
  <si>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</si>
  <si>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</si>
  <si>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</si>
  <si>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</si>
  <si>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</si>
  <si>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</si>
  <si>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</si>
  <si>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</si>
  <si>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</si>
  <si>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</si>
  <si>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</si>
  <si>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</si>
  <si>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</si>
  <si>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</si>
  <si>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</si>
  <si>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</si>
  <si>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</si>
  <si>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</si>
  <si>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</si>
  <si>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</si>
  <si>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</si>
  <si>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</si>
  <si>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</si>
  <si>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</si>
  <si>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</si>
  <si>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</si>
  <si>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</si>
  <si>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</si>
  <si>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</si>
  <si>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</si>
  <si>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</si>
  <si>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</si>
  <si>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</si>
  <si>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</si>
  <si>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</si>
  <si>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</si>
  <si>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</si>
  <si>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</si>
  <si>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本次免扣</t>
  </si>
  <si>
    <t>晴天雨同学得了儿子，请客。感谢，并祝贺添丁！</t>
  </si>
  <si>
    <t>没头脑</t>
  </si>
  <si>
    <t>聚餐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</si>
  <si>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</si>
  <si>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</si>
  <si>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</si>
  <si>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</si>
  <si>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</si>
  <si>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</si>
  <si>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</si>
  <si>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</si>
  <si>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</si>
  <si>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</si>
  <si>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</si>
  <si>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</si>
  <si>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</si>
  <si>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</si>
  <si>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</si>
  <si>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</si>
  <si>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</si>
  <si>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</si>
  <si>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</si>
  <si>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</si>
  <si>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</si>
  <si>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</si>
  <si>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</si>
  <si>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</si>
  <si>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</si>
  <si>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</si>
  <si>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</si>
  <si>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</si>
  <si>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</si>
  <si>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</si>
  <si>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</si>
  <si>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</si>
  <si>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</si>
  <si>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</si>
  <si>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</si>
  <si>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</si>
  <si>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</si>
  <si>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</si>
  <si>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</si>
  <si>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</si>
  <si>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</si>
  <si>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</si>
  <si>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</si>
  <si>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一人临时参与，只有10块钱；没好意思收他的50块</t>
  </si>
  <si>
    <t>meitounao</t>
  </si>
  <si>
    <t>meitounao同学新加入，欢迎，必须得改个名字，中文的好叫的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</si>
  <si>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</si>
  <si>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</si>
  <si>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</si>
  <si>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</si>
  <si>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雨点同学新加入，欢迎</t>
  </si>
  <si>
    <t>雨点儿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</si>
  <si>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</si>
  <si>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</si>
  <si>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</si>
  <si>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</si>
  <si>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</si>
  <si>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lookworld</t>
  </si>
  <si>
    <t>本次活动海冬青庆祝女儿出生包场（相应违规免扣）</t>
  </si>
  <si>
    <t>新人lookworld加入，欢迎</t>
  </si>
  <si>
    <t>meitounao</t>
  </si>
  <si>
    <t>中南海</t>
  </si>
  <si>
    <t>高思特</t>
  </si>
  <si>
    <t>本次活动龙龙四庆祝女儿出生包场（相应违规免扣）</t>
  </si>
  <si>
    <t>meitounao同学改名为高思特</t>
  </si>
  <si>
    <t>中南海08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</si>
  <si>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</si>
  <si>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</si>
  <si>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lookworld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</si>
  <si>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</si>
  <si>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限制报名规则第一次实行，独孤的朋友不知道，直接到场</t>
  </si>
  <si>
    <t>按照没报名直接到扣5块处理。下不为例。没报名直接去如果报名人数已经够20人了，将不允许参加活动。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</si>
  <si>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</si>
  <si>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</si>
  <si>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</si>
  <si>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</si>
  <si>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人员退出费用均摊</t>
  </si>
  <si>
    <t>北冰洋，剩余25.4788，退费
mihu，剩余50.3991，退费
甲乙丙丁，-43.78，均摊
马代国脚，-50.53，均摊</t>
  </si>
  <si>
    <t>满三个月未参加活动人员退会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</si>
  <si>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</si>
  <si>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</si>
  <si>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</si>
  <si>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</si>
  <si>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</si>
  <si>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网站混乱，报名受影响，本次免扣。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</si>
</sst>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16" borderId="36" xfId="0" applyFont="1" applyFill="1" applyBorder="1" applyAlignment="1">
      <alignment horizontal="right"/>
    </xf>
    <xf numFmtId="0" fontId="0" fillId="16" borderId="37" xfId="0" applyFont="1" applyFill="1" applyBorder="1" applyAlignment="1">
      <alignment horizontal="center"/>
    </xf>
    <xf numFmtId="0" fontId="0" fillId="16" borderId="38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196" fontId="0" fillId="16" borderId="23" xfId="0" applyNumberFormat="1" applyFont="1" applyFill="1" applyBorder="1" applyAlignment="1">
      <alignment/>
    </xf>
    <xf numFmtId="0" fontId="0" fillId="16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6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25" borderId="2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26" borderId="22" xfId="0" applyFont="1" applyFill="1" applyBorder="1" applyAlignment="1">
      <alignment/>
    </xf>
    <xf numFmtId="0" fontId="6" fillId="0" borderId="0" xfId="0" applyFont="1" applyAlignment="1">
      <alignment wrapText="1"/>
    </xf>
    <xf numFmtId="49" fontId="7" fillId="16" borderId="22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24" borderId="25" xfId="0" applyFont="1" applyFill="1" applyBorder="1" applyAlignment="1">
      <alignment/>
    </xf>
    <xf numFmtId="0" fontId="7" fillId="25" borderId="42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7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10" fillId="10" borderId="38" xfId="0" applyFont="1" applyFill="1" applyBorder="1" applyAlignment="1">
      <alignment/>
    </xf>
    <xf numFmtId="0" fontId="0" fillId="28" borderId="23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21" xfId="0" applyFont="1" applyFill="1" applyBorder="1" applyAlignment="1">
      <alignment horizontal="center"/>
    </xf>
    <xf numFmtId="0" fontId="0" fillId="28" borderId="39" xfId="0" applyFont="1" applyFill="1" applyBorder="1" applyAlignment="1">
      <alignment/>
    </xf>
    <xf numFmtId="0" fontId="10" fillId="28" borderId="38" xfId="0" applyFont="1" applyFill="1" applyBorder="1" applyAlignment="1">
      <alignment/>
    </xf>
    <xf numFmtId="0" fontId="9" fillId="0" borderId="0" xfId="0" applyFont="1" applyAlignment="1">
      <alignment/>
    </xf>
    <xf numFmtId="0" fontId="6" fillId="24" borderId="24" xfId="0" applyFont="1" applyFill="1" applyBorder="1" applyAlignment="1">
      <alignment/>
    </xf>
    <xf numFmtId="196" fontId="0" fillId="3" borderId="36" xfId="0" applyNumberFormat="1" applyFont="1" applyFill="1" applyBorder="1" applyAlignment="1">
      <alignment horizontal="right"/>
    </xf>
    <xf numFmtId="196" fontId="0" fillId="25" borderId="36" xfId="0" applyNumberFormat="1" applyFont="1" applyFill="1" applyBorder="1" applyAlignment="1">
      <alignment horizontal="right"/>
    </xf>
    <xf numFmtId="196" fontId="0" fillId="29" borderId="14" xfId="0" applyNumberFormat="1" applyFont="1" applyFill="1" applyBorder="1" applyAlignment="1">
      <alignment horizontal="right"/>
    </xf>
    <xf numFmtId="0" fontId="7" fillId="25" borderId="45" xfId="0" applyFont="1" applyFill="1" applyBorder="1" applyAlignment="1">
      <alignment/>
    </xf>
    <xf numFmtId="196" fontId="0" fillId="25" borderId="23" xfId="0" applyNumberFormat="1" applyFont="1" applyFill="1" applyBorder="1" applyAlignment="1">
      <alignment horizontal="right"/>
    </xf>
    <xf numFmtId="0" fontId="7" fillId="10" borderId="45" xfId="0" applyFont="1" applyFill="1" applyBorder="1" applyAlignment="1">
      <alignment/>
    </xf>
    <xf numFmtId="0" fontId="7" fillId="16" borderId="45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26" borderId="45" xfId="0" applyFont="1" applyFill="1" applyBorder="1" applyAlignment="1">
      <alignment/>
    </xf>
    <xf numFmtId="49" fontId="7" fillId="16" borderId="45" xfId="0" applyNumberFormat="1" applyFont="1" applyFill="1" applyBorder="1" applyAlignment="1">
      <alignment/>
    </xf>
    <xf numFmtId="196" fontId="0" fillId="10" borderId="46" xfId="0" applyNumberFormat="1" applyFont="1" applyFill="1" applyBorder="1" applyAlignment="1">
      <alignment horizontal="right"/>
    </xf>
    <xf numFmtId="196" fontId="0" fillId="16" borderId="46" xfId="0" applyNumberFormat="1" applyFont="1" applyFill="1" applyBorder="1" applyAlignment="1">
      <alignment horizontal="right"/>
    </xf>
    <xf numFmtId="196" fontId="0" fillId="3" borderId="23" xfId="0" applyNumberFormat="1" applyFont="1" applyFill="1" applyBorder="1" applyAlignment="1">
      <alignment horizontal="right"/>
    </xf>
    <xf numFmtId="196" fontId="0" fillId="25" borderId="23" xfId="0" applyNumberFormat="1" applyFont="1" applyFill="1" applyBorder="1" applyAlignment="1">
      <alignment horizontal="right"/>
    </xf>
    <xf numFmtId="196" fontId="0" fillId="16" borderId="23" xfId="0" applyNumberFormat="1" applyFont="1" applyFill="1" applyBorder="1" applyAlignment="1">
      <alignment horizontal="right"/>
    </xf>
    <xf numFmtId="196" fontId="0" fillId="26" borderId="23" xfId="0" applyNumberFormat="1" applyFont="1" applyFill="1" applyBorder="1" applyAlignment="1">
      <alignment horizontal="right"/>
    </xf>
    <xf numFmtId="196" fontId="0" fillId="10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40552</v>
      </c>
      <c r="E1" s="155"/>
      <c r="F1" s="156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47" t="s">
        <v>63</v>
      </c>
      <c r="E60" s="148"/>
      <c r="F60" s="149"/>
      <c r="G60" s="147" t="s">
        <v>58</v>
      </c>
      <c r="H60" s="148"/>
      <c r="I60" s="149"/>
      <c r="J60" s="147" t="s">
        <v>59</v>
      </c>
      <c r="K60" s="148"/>
      <c r="L60" s="149"/>
      <c r="M60" s="147" t="s">
        <v>60</v>
      </c>
      <c r="N60" s="148"/>
      <c r="O60" s="149"/>
      <c r="P60" s="147" t="s">
        <v>61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65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64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O12" sqref="O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40881</v>
      </c>
      <c r="E1" s="155"/>
      <c r="F1" s="156"/>
      <c r="G1" s="16"/>
      <c r="H1" s="24">
        <v>40888</v>
      </c>
      <c r="I1" s="17"/>
      <c r="J1" s="30"/>
      <c r="K1" s="24">
        <v>40895</v>
      </c>
      <c r="L1" s="31"/>
      <c r="M1" s="16"/>
      <c r="N1" s="24">
        <v>40902</v>
      </c>
      <c r="O1" s="17"/>
      <c r="P1" s="16"/>
      <c r="Q1" s="24">
        <v>40910</v>
      </c>
      <c r="R1" s="17"/>
      <c r="S1" s="123" t="s">
        <v>321</v>
      </c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'2011年11月'!U3</f>
        <v>8.443600000000007</v>
      </c>
      <c r="D3" s="50">
        <v>1</v>
      </c>
      <c r="E3" s="51">
        <v>50</v>
      </c>
      <c r="F3" s="52">
        <f>-16.6667*D3</f>
        <v>-16.6667</v>
      </c>
      <c r="G3" s="50">
        <v>1</v>
      </c>
      <c r="H3" s="51"/>
      <c r="I3" s="52">
        <f>-9.0909*G3</f>
        <v>-9.0909</v>
      </c>
      <c r="J3" s="50">
        <v>1</v>
      </c>
      <c r="K3" s="51"/>
      <c r="L3" s="52">
        <f>0*J3</f>
        <v>0</v>
      </c>
      <c r="M3" s="50">
        <v>1</v>
      </c>
      <c r="N3" s="51"/>
      <c r="O3" s="52">
        <f>-18.75*M3</f>
        <v>-18.75</v>
      </c>
      <c r="P3" s="90">
        <v>1</v>
      </c>
      <c r="Q3" s="99">
        <v>110</v>
      </c>
      <c r="R3" s="52">
        <f>-14.5*P3</f>
        <v>-14.5</v>
      </c>
      <c r="S3" s="50"/>
      <c r="T3" s="53">
        <v>-65</v>
      </c>
      <c r="U3" s="77">
        <f aca="true" t="shared" si="0" ref="U3:U34">C3+E3+F3+H3+I3+K3+L3+N3+O3+T3+Q3+R3</f>
        <v>44.43600000000001</v>
      </c>
      <c r="W3" s="89"/>
    </row>
    <row r="4" spans="1:23" ht="12.75">
      <c r="A4" s="2">
        <v>2</v>
      </c>
      <c r="B4" s="76" t="s">
        <v>3</v>
      </c>
      <c r="C4" s="49">
        <f>'2011年11月'!U4</f>
        <v>75.7233</v>
      </c>
      <c r="D4" s="50">
        <v>1</v>
      </c>
      <c r="E4" s="51"/>
      <c r="F4" s="52">
        <f aca="true" t="shared" si="1" ref="F4:F53">-16.6667*D4</f>
        <v>-16.6667</v>
      </c>
      <c r="G4" s="50">
        <v>1</v>
      </c>
      <c r="H4" s="51"/>
      <c r="I4" s="52">
        <f aca="true" t="shared" si="2" ref="I4:I53">-9.0909*G4</f>
        <v>-9.0909</v>
      </c>
      <c r="J4" s="50">
        <v>1</v>
      </c>
      <c r="K4" s="51"/>
      <c r="L4" s="52">
        <f aca="true" t="shared" si="3" ref="L4:L53">0*J4</f>
        <v>0</v>
      </c>
      <c r="M4" s="50">
        <v>1</v>
      </c>
      <c r="N4" s="51"/>
      <c r="O4" s="52">
        <f aca="true" t="shared" si="4" ref="O4:O53">-18.75*M4</f>
        <v>-18.75</v>
      </c>
      <c r="P4" s="90">
        <v>1</v>
      </c>
      <c r="Q4" s="99">
        <v>100</v>
      </c>
      <c r="R4" s="52">
        <f aca="true" t="shared" si="5" ref="R4:R53">-14.5*P4</f>
        <v>-14.5</v>
      </c>
      <c r="S4" s="54"/>
      <c r="T4" s="53">
        <v>-65</v>
      </c>
      <c r="U4" s="77">
        <f t="shared" si="0"/>
        <v>51.7157</v>
      </c>
      <c r="W4" s="89"/>
    </row>
    <row r="5" spans="1:23" ht="12.75">
      <c r="A5" s="2">
        <v>3</v>
      </c>
      <c r="B5" s="78" t="s">
        <v>272</v>
      </c>
      <c r="C5" s="49">
        <f>'2011年11月'!U5</f>
        <v>43.924499999999995</v>
      </c>
      <c r="D5" s="50"/>
      <c r="E5" s="51"/>
      <c r="F5" s="52">
        <f t="shared" si="1"/>
        <v>0</v>
      </c>
      <c r="G5" s="50">
        <v>1</v>
      </c>
      <c r="H5" s="51"/>
      <c r="I5" s="52">
        <f t="shared" si="2"/>
        <v>-9.0909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34.8336</v>
      </c>
      <c r="W5" s="89"/>
    </row>
    <row r="6" spans="1:23" ht="12.75">
      <c r="A6" s="2">
        <v>4</v>
      </c>
      <c r="B6" s="79" t="s">
        <v>273</v>
      </c>
      <c r="C6" s="55">
        <f>'2011年11月'!U6</f>
        <v>77.4977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-9.0909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274</v>
      </c>
      <c r="C7" s="55">
        <f>'2011年11月'!U7</f>
        <v>90.9761</v>
      </c>
      <c r="D7" s="56">
        <v>1</v>
      </c>
      <c r="E7" s="57"/>
      <c r="F7" s="58">
        <f t="shared" si="1"/>
        <v>-16.6667</v>
      </c>
      <c r="G7" s="56">
        <v>1</v>
      </c>
      <c r="H7" s="57"/>
      <c r="I7" s="58">
        <f t="shared" si="2"/>
        <v>-9.0909</v>
      </c>
      <c r="J7" s="56">
        <v>1</v>
      </c>
      <c r="K7" s="57"/>
      <c r="L7" s="58">
        <f t="shared" si="3"/>
        <v>0</v>
      </c>
      <c r="M7" s="56">
        <v>1</v>
      </c>
      <c r="N7" s="57"/>
      <c r="O7" s="58">
        <f t="shared" si="4"/>
        <v>-18.75</v>
      </c>
      <c r="P7" s="92">
        <v>1</v>
      </c>
      <c r="Q7" s="101">
        <v>200</v>
      </c>
      <c r="R7" s="58">
        <f t="shared" si="5"/>
        <v>-14.5</v>
      </c>
      <c r="S7" s="56"/>
      <c r="T7" s="59">
        <v>-65</v>
      </c>
      <c r="U7" s="77">
        <f t="shared" si="0"/>
        <v>166.9685</v>
      </c>
      <c r="W7" s="89"/>
    </row>
    <row r="8" spans="1:23" ht="12.75">
      <c r="A8" s="2">
        <v>6</v>
      </c>
      <c r="B8" s="79" t="s">
        <v>275</v>
      </c>
      <c r="C8" s="55">
        <f>'2011年11月'!U8</f>
        <v>39.17680000000003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-9.0909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30.08590000000003</v>
      </c>
      <c r="W8" s="89"/>
    </row>
    <row r="9" spans="1:23" ht="12.75">
      <c r="A9" s="2">
        <v>7</v>
      </c>
      <c r="B9" s="82"/>
      <c r="C9" s="67">
        <f>'2011年11月'!U9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276</v>
      </c>
      <c r="C10" s="67">
        <f>'2011年11月'!U10</f>
        <v>64.73740000000001</v>
      </c>
      <c r="D10" s="72">
        <v>1</v>
      </c>
      <c r="E10" s="69"/>
      <c r="F10" s="70">
        <f t="shared" si="1"/>
        <v>-16.6667</v>
      </c>
      <c r="G10" s="72">
        <v>1</v>
      </c>
      <c r="H10" s="69"/>
      <c r="I10" s="70">
        <f t="shared" si="2"/>
        <v>-9.0909</v>
      </c>
      <c r="J10" s="72">
        <v>1</v>
      </c>
      <c r="K10" s="69"/>
      <c r="L10" s="70">
        <f t="shared" si="3"/>
        <v>0</v>
      </c>
      <c r="M10" s="72">
        <v>1</v>
      </c>
      <c r="N10" s="69"/>
      <c r="O10" s="70">
        <f t="shared" si="4"/>
        <v>-18.75</v>
      </c>
      <c r="P10" s="94">
        <v>1</v>
      </c>
      <c r="Q10" s="103">
        <v>200</v>
      </c>
      <c r="R10" s="70">
        <f t="shared" si="5"/>
        <v>-14.5</v>
      </c>
      <c r="S10" s="72"/>
      <c r="T10" s="71">
        <v>-65</v>
      </c>
      <c r="U10" s="77">
        <f t="shared" si="0"/>
        <v>140.7298</v>
      </c>
      <c r="W10" s="89"/>
    </row>
    <row r="11" spans="1:23" ht="12.75">
      <c r="A11" s="2">
        <v>9</v>
      </c>
      <c r="B11" s="82" t="s">
        <v>277</v>
      </c>
      <c r="C11" s="67">
        <f>'2011年11月'!U11</f>
        <v>-25.334300000000002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-9.0909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-34.425200000000004</v>
      </c>
      <c r="W11" s="89"/>
    </row>
    <row r="12" spans="1:23" ht="12.75">
      <c r="A12" s="2">
        <v>10</v>
      </c>
      <c r="B12" s="80" t="s">
        <v>278</v>
      </c>
      <c r="C12" s="61">
        <f>'2011年11月'!U12</f>
        <v>89.56599999999997</v>
      </c>
      <c r="D12" s="62">
        <v>1</v>
      </c>
      <c r="E12" s="63"/>
      <c r="F12" s="64">
        <f t="shared" si="1"/>
        <v>-16.6667</v>
      </c>
      <c r="G12" s="62">
        <v>1</v>
      </c>
      <c r="H12" s="63"/>
      <c r="I12" s="64">
        <f t="shared" si="2"/>
        <v>-9.0909</v>
      </c>
      <c r="J12" s="62">
        <v>2</v>
      </c>
      <c r="K12" s="63"/>
      <c r="L12" s="64">
        <f t="shared" si="3"/>
        <v>0</v>
      </c>
      <c r="M12" s="62">
        <v>1</v>
      </c>
      <c r="N12" s="63">
        <v>200</v>
      </c>
      <c r="O12" s="64">
        <f t="shared" si="4"/>
        <v>-18.75</v>
      </c>
      <c r="P12" s="95">
        <v>1</v>
      </c>
      <c r="Q12" s="104"/>
      <c r="R12" s="64">
        <f t="shared" si="5"/>
        <v>-14.5</v>
      </c>
      <c r="S12" s="62"/>
      <c r="T12" s="66"/>
      <c r="U12" s="77">
        <f t="shared" si="0"/>
        <v>230.5584</v>
      </c>
      <c r="W12" s="89"/>
    </row>
    <row r="13" spans="1:23" ht="12.75">
      <c r="A13" s="2">
        <v>11</v>
      </c>
      <c r="B13" s="80"/>
      <c r="C13" s="61">
        <f>'2011年11月'!U13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279</v>
      </c>
      <c r="C14" s="61">
        <f>'2011年11月'!U14</f>
        <v>67.82220000000001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-9.0909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58.73130000000001</v>
      </c>
      <c r="W14" s="89"/>
    </row>
    <row r="15" spans="1:23" ht="12.75">
      <c r="A15" s="2">
        <v>13</v>
      </c>
      <c r="B15" s="81" t="s">
        <v>280</v>
      </c>
      <c r="C15" s="43">
        <f>'2011年11月'!U15</f>
        <v>120.93629999999997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-9.0909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-14.5</v>
      </c>
      <c r="S15" s="48"/>
      <c r="T15" s="47"/>
      <c r="U15" s="77">
        <f t="shared" si="0"/>
        <v>97.34539999999997</v>
      </c>
      <c r="W15" s="89"/>
    </row>
    <row r="16" spans="1:23" ht="12.75">
      <c r="A16" s="2">
        <v>14</v>
      </c>
      <c r="B16" s="81" t="s">
        <v>281</v>
      </c>
      <c r="C16" s="43">
        <f>'2011年11月'!U16</f>
        <v>24.588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-9.0909</v>
      </c>
      <c r="J16" s="44">
        <v>1</v>
      </c>
      <c r="K16" s="45"/>
      <c r="L16" s="46">
        <f t="shared" si="3"/>
        <v>0</v>
      </c>
      <c r="M16" s="44">
        <v>1</v>
      </c>
      <c r="N16" s="45"/>
      <c r="O16" s="46">
        <f t="shared" si="4"/>
        <v>-18.75</v>
      </c>
      <c r="P16" s="96">
        <v>1</v>
      </c>
      <c r="Q16" s="105">
        <v>200</v>
      </c>
      <c r="R16" s="46">
        <f t="shared" si="5"/>
        <v>-14.5</v>
      </c>
      <c r="S16" s="44"/>
      <c r="T16" s="47"/>
      <c r="U16" s="77">
        <f t="shared" si="0"/>
        <v>165.5804</v>
      </c>
      <c r="W16" s="89"/>
    </row>
    <row r="17" spans="1:23" ht="12.75">
      <c r="A17" s="2">
        <v>15</v>
      </c>
      <c r="B17" s="81" t="s">
        <v>282</v>
      </c>
      <c r="C17" s="43">
        <f>'2011年11月'!U17</f>
        <v>40.8206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-9.0909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31.7297</v>
      </c>
      <c r="W17" s="89"/>
    </row>
    <row r="18" spans="1:23" ht="12.75">
      <c r="A18" s="2">
        <v>16</v>
      </c>
      <c r="B18" s="78" t="s">
        <v>283</v>
      </c>
      <c r="C18" s="49">
        <f>'2011年11月'!U18</f>
        <v>-28.976500000000023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-9.0909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-38.06740000000002</v>
      </c>
      <c r="W18" s="89"/>
    </row>
    <row r="19" spans="1:23" ht="12.75">
      <c r="A19" s="2">
        <v>17</v>
      </c>
      <c r="B19" s="78" t="s">
        <v>284</v>
      </c>
      <c r="C19" s="49">
        <f>'2011年11月'!U19</f>
        <v>-2.1202999999999967</v>
      </c>
      <c r="D19" s="50">
        <v>1</v>
      </c>
      <c r="E19" s="51">
        <v>100</v>
      </c>
      <c r="F19" s="52">
        <f t="shared" si="1"/>
        <v>-16.6667</v>
      </c>
      <c r="G19" s="50">
        <v>1</v>
      </c>
      <c r="H19" s="51"/>
      <c r="I19" s="52">
        <f t="shared" si="2"/>
        <v>-9.0909</v>
      </c>
      <c r="J19" s="50">
        <v>1</v>
      </c>
      <c r="K19" s="51"/>
      <c r="L19" s="52">
        <f t="shared" si="3"/>
        <v>0</v>
      </c>
      <c r="M19" s="50">
        <v>1</v>
      </c>
      <c r="N19" s="51"/>
      <c r="O19" s="52">
        <f t="shared" si="4"/>
        <v>-18.75</v>
      </c>
      <c r="P19" s="90">
        <v>1</v>
      </c>
      <c r="Q19" s="99">
        <v>100</v>
      </c>
      <c r="R19" s="52">
        <f t="shared" si="5"/>
        <v>-14.5</v>
      </c>
      <c r="S19" s="54"/>
      <c r="T19" s="53">
        <v>-65</v>
      </c>
      <c r="U19" s="77">
        <f t="shared" si="0"/>
        <v>73.87209999999999</v>
      </c>
      <c r="W19" s="89"/>
    </row>
    <row r="20" spans="1:23" ht="12.75">
      <c r="A20" s="2">
        <v>18</v>
      </c>
      <c r="B20" s="78" t="s">
        <v>285</v>
      </c>
      <c r="C20" s="49">
        <f>'2011年11月'!U20</f>
        <v>30.574300000000004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-9.0909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21.483400000000003</v>
      </c>
      <c r="W20" s="89"/>
    </row>
    <row r="21" spans="1:23" ht="12.75">
      <c r="A21" s="2">
        <v>19</v>
      </c>
      <c r="B21" s="79" t="s">
        <v>286</v>
      </c>
      <c r="C21" s="55">
        <f>'2011年11月'!U21</f>
        <v>-1.9511000000000216</v>
      </c>
      <c r="D21" s="56">
        <v>1</v>
      </c>
      <c r="E21" s="57">
        <v>100</v>
      </c>
      <c r="F21" s="58">
        <f t="shared" si="1"/>
        <v>-16.6667</v>
      </c>
      <c r="G21" s="56">
        <v>1</v>
      </c>
      <c r="H21" s="57"/>
      <c r="I21" s="58">
        <f t="shared" si="2"/>
        <v>-9.0909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72.29129999999998</v>
      </c>
      <c r="W21" s="89"/>
    </row>
    <row r="22" spans="1:23" ht="12.75">
      <c r="A22" s="2">
        <v>20</v>
      </c>
      <c r="B22" s="79" t="s">
        <v>287</v>
      </c>
      <c r="C22" s="55">
        <f>'2011年11月'!U22</f>
        <v>8.167900000000028</v>
      </c>
      <c r="D22" s="56">
        <v>1</v>
      </c>
      <c r="E22" s="57">
        <v>100</v>
      </c>
      <c r="F22" s="58">
        <f t="shared" si="1"/>
        <v>-16.6667</v>
      </c>
      <c r="G22" s="56">
        <v>1</v>
      </c>
      <c r="H22" s="57"/>
      <c r="I22" s="58">
        <f t="shared" si="2"/>
        <v>-9.0909</v>
      </c>
      <c r="J22" s="56">
        <v>1</v>
      </c>
      <c r="K22" s="57"/>
      <c r="L22" s="58">
        <f t="shared" si="3"/>
        <v>0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-14.5</v>
      </c>
      <c r="S22" s="56"/>
      <c r="T22" s="59">
        <v>-65</v>
      </c>
      <c r="U22" s="77">
        <f t="shared" si="0"/>
        <v>2.910300000000035</v>
      </c>
      <c r="W22" s="89"/>
    </row>
    <row r="23" spans="1:23" ht="12.75">
      <c r="A23" s="2">
        <v>21</v>
      </c>
      <c r="B23" s="79" t="s">
        <v>288</v>
      </c>
      <c r="C23" s="55">
        <f>'2011年11月'!U23</f>
        <v>68.84479999999999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-9.0909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59.753899999999994</v>
      </c>
      <c r="W23" s="89"/>
    </row>
    <row r="24" spans="1:23" ht="12.75">
      <c r="A24" s="2">
        <v>22</v>
      </c>
      <c r="B24" s="82" t="s">
        <v>289</v>
      </c>
      <c r="C24" s="67">
        <f>'2011年11月'!U24</f>
        <v>25.46099999999999</v>
      </c>
      <c r="D24" s="68">
        <v>1</v>
      </c>
      <c r="E24" s="69"/>
      <c r="F24" s="70">
        <f t="shared" si="1"/>
        <v>-16.6667</v>
      </c>
      <c r="G24" s="68">
        <v>1</v>
      </c>
      <c r="H24" s="69"/>
      <c r="I24" s="70">
        <f t="shared" si="2"/>
        <v>-9.0909</v>
      </c>
      <c r="J24" s="68">
        <v>1</v>
      </c>
      <c r="K24" s="69"/>
      <c r="L24" s="70">
        <f t="shared" si="3"/>
        <v>0</v>
      </c>
      <c r="M24" s="68">
        <v>1</v>
      </c>
      <c r="N24" s="69">
        <v>200</v>
      </c>
      <c r="O24" s="70">
        <f t="shared" si="4"/>
        <v>-18.75</v>
      </c>
      <c r="P24" s="93">
        <v>1</v>
      </c>
      <c r="Q24" s="102"/>
      <c r="R24" s="70">
        <f t="shared" si="5"/>
        <v>-14.5</v>
      </c>
      <c r="S24" s="68"/>
      <c r="T24" s="71"/>
      <c r="U24" s="77">
        <f t="shared" si="0"/>
        <v>166.4534</v>
      </c>
      <c r="W24" s="89"/>
    </row>
    <row r="25" spans="1:23" ht="12.75">
      <c r="A25" s="2">
        <v>23</v>
      </c>
      <c r="B25" s="82" t="s">
        <v>290</v>
      </c>
      <c r="C25" s="67">
        <f>'2011年11月'!U25</f>
        <v>130.08410000000003</v>
      </c>
      <c r="D25" s="68">
        <v>1</v>
      </c>
      <c r="E25" s="69"/>
      <c r="F25" s="70">
        <f t="shared" si="1"/>
        <v>-16.6667</v>
      </c>
      <c r="G25" s="68">
        <v>1</v>
      </c>
      <c r="H25" s="69"/>
      <c r="I25" s="70">
        <f t="shared" si="2"/>
        <v>-9.0909</v>
      </c>
      <c r="J25" s="68">
        <v>1</v>
      </c>
      <c r="K25" s="69"/>
      <c r="L25" s="70">
        <f t="shared" si="3"/>
        <v>0</v>
      </c>
      <c r="M25" s="68">
        <v>1</v>
      </c>
      <c r="N25" s="69"/>
      <c r="O25" s="70">
        <f t="shared" si="4"/>
        <v>-18.75</v>
      </c>
      <c r="P25" s="93">
        <v>1</v>
      </c>
      <c r="Q25" s="102"/>
      <c r="R25" s="70">
        <f t="shared" si="5"/>
        <v>-14.5</v>
      </c>
      <c r="S25" s="68"/>
      <c r="T25" s="71">
        <v>-65</v>
      </c>
      <c r="U25" s="77">
        <f t="shared" si="0"/>
        <v>6.076500000000038</v>
      </c>
      <c r="W25" s="89"/>
    </row>
    <row r="26" spans="1:23" ht="12.75">
      <c r="A26" s="2">
        <v>24</v>
      </c>
      <c r="B26" s="82" t="s">
        <v>291</v>
      </c>
      <c r="C26" s="67">
        <f>'2011年11月'!U26</f>
        <v>99.3193</v>
      </c>
      <c r="D26" s="68">
        <v>1</v>
      </c>
      <c r="E26" s="69">
        <v>100</v>
      </c>
      <c r="F26" s="70">
        <f t="shared" si="1"/>
        <v>-16.6667</v>
      </c>
      <c r="G26" s="68">
        <v>1</v>
      </c>
      <c r="H26" s="69"/>
      <c r="I26" s="70">
        <f t="shared" si="2"/>
        <v>-9.0909</v>
      </c>
      <c r="J26" s="68">
        <v>1</v>
      </c>
      <c r="K26" s="69">
        <v>500</v>
      </c>
      <c r="L26" s="70">
        <v>-300</v>
      </c>
      <c r="M26" s="68">
        <v>1</v>
      </c>
      <c r="N26" s="69"/>
      <c r="O26" s="70">
        <f t="shared" si="4"/>
        <v>-18.75</v>
      </c>
      <c r="P26" s="93">
        <v>1</v>
      </c>
      <c r="Q26" s="102"/>
      <c r="R26" s="70">
        <f t="shared" si="5"/>
        <v>-14.5</v>
      </c>
      <c r="S26" s="72"/>
      <c r="T26" s="71">
        <v>-65</v>
      </c>
      <c r="U26" s="77">
        <f t="shared" si="0"/>
        <v>275.3117</v>
      </c>
      <c r="W26" s="89"/>
    </row>
    <row r="27" spans="1:23" ht="12.75">
      <c r="A27" s="2">
        <v>25</v>
      </c>
      <c r="B27" s="80"/>
      <c r="C27" s="61">
        <f>'2011年11月'!U27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292</v>
      </c>
      <c r="C28" s="61">
        <f>'2011年11月'!U28</f>
        <v>-67.4975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-9.0909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-76.58840000000001</v>
      </c>
      <c r="W28" s="89"/>
    </row>
    <row r="29" spans="1:23" ht="12.75">
      <c r="A29" s="2">
        <v>27</v>
      </c>
      <c r="B29" s="80"/>
      <c r="C29" s="61">
        <f>'2011年11月'!U29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293</v>
      </c>
      <c r="C30" s="43">
        <f>'2011年11月'!U30</f>
        <v>-32.0851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-9.0909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-41.175999999999995</v>
      </c>
      <c r="V30" s="28"/>
      <c r="W30" s="89"/>
    </row>
    <row r="31" spans="1:23" ht="12.75">
      <c r="A31" s="2">
        <v>29</v>
      </c>
      <c r="B31" s="81"/>
      <c r="C31" s="43">
        <f>'2011年11月'!U31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294</v>
      </c>
      <c r="C32" s="43">
        <f>'2011年11月'!U32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>
        <v>1</v>
      </c>
      <c r="Q32" s="107">
        <v>200</v>
      </c>
      <c r="R32" s="46">
        <f t="shared" si="5"/>
        <v>-14.5</v>
      </c>
      <c r="S32" s="48"/>
      <c r="T32" s="47">
        <v>-65</v>
      </c>
      <c r="U32" s="77">
        <f t="shared" si="0"/>
        <v>138.5508</v>
      </c>
      <c r="W32" s="89"/>
    </row>
    <row r="33" spans="1:23" ht="12.75">
      <c r="A33" s="2">
        <v>31</v>
      </c>
      <c r="B33" s="78" t="s">
        <v>295</v>
      </c>
      <c r="C33" s="49">
        <f>'2011年11月'!U33</f>
        <v>-1.300200000000011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90"/>
      <c r="Q33" s="99">
        <v>200</v>
      </c>
      <c r="R33" s="52">
        <f t="shared" si="5"/>
        <v>0</v>
      </c>
      <c r="S33" s="50"/>
      <c r="T33" s="53">
        <v>-65</v>
      </c>
      <c r="U33" s="77">
        <f t="shared" si="0"/>
        <v>133.69979999999998</v>
      </c>
      <c r="W33" s="89"/>
    </row>
    <row r="34" spans="1:23" ht="12.75">
      <c r="A34" s="2">
        <v>32</v>
      </c>
      <c r="B34" s="78" t="s">
        <v>296</v>
      </c>
      <c r="C34" s="49">
        <f>'2011年11月'!U34</f>
        <v>121.05799999999999</v>
      </c>
      <c r="D34" s="50">
        <v>1</v>
      </c>
      <c r="E34" s="51"/>
      <c r="F34" s="52">
        <f t="shared" si="1"/>
        <v>-16.6667</v>
      </c>
      <c r="G34" s="88">
        <v>1</v>
      </c>
      <c r="H34" s="51"/>
      <c r="I34" s="52">
        <f t="shared" si="2"/>
        <v>-9.0909</v>
      </c>
      <c r="J34" s="88">
        <v>1</v>
      </c>
      <c r="K34" s="51"/>
      <c r="L34" s="52">
        <f t="shared" si="3"/>
        <v>0</v>
      </c>
      <c r="M34" s="50">
        <v>1</v>
      </c>
      <c r="N34" s="51">
        <v>500</v>
      </c>
      <c r="O34" s="52">
        <f t="shared" si="4"/>
        <v>-18.75</v>
      </c>
      <c r="P34" s="90">
        <v>1</v>
      </c>
      <c r="Q34" s="99"/>
      <c r="R34" s="52">
        <f t="shared" si="5"/>
        <v>-14.5</v>
      </c>
      <c r="S34" s="54"/>
      <c r="T34" s="53">
        <v>-65</v>
      </c>
      <c r="U34" s="77">
        <f t="shared" si="0"/>
        <v>497.05039999999997</v>
      </c>
      <c r="W34" s="89"/>
    </row>
    <row r="35" spans="1:23" ht="12.75">
      <c r="A35" s="2">
        <v>33</v>
      </c>
      <c r="B35" s="78" t="s">
        <v>297</v>
      </c>
      <c r="C35" s="49">
        <f>'2011年11月'!U35</f>
        <v>71.24909999999997</v>
      </c>
      <c r="D35" s="50">
        <v>1</v>
      </c>
      <c r="E35" s="51"/>
      <c r="F35" s="52">
        <f t="shared" si="1"/>
        <v>-16.6667</v>
      </c>
      <c r="G35" s="50">
        <v>1</v>
      </c>
      <c r="H35" s="51"/>
      <c r="I35" s="52">
        <f t="shared" si="2"/>
        <v>-9.0909</v>
      </c>
      <c r="J35" s="50">
        <v>1</v>
      </c>
      <c r="K35" s="51"/>
      <c r="L35" s="52">
        <f t="shared" si="3"/>
        <v>0</v>
      </c>
      <c r="M35" s="50">
        <v>1</v>
      </c>
      <c r="N35" s="51"/>
      <c r="O35" s="52">
        <f t="shared" si="4"/>
        <v>-18.75</v>
      </c>
      <c r="P35" s="90">
        <v>1</v>
      </c>
      <c r="Q35" s="99"/>
      <c r="R35" s="52">
        <f t="shared" si="5"/>
        <v>-14.5</v>
      </c>
      <c r="S35" s="50"/>
      <c r="T35" s="53"/>
      <c r="U35" s="77">
        <f aca="true" t="shared" si="6" ref="U35:U53">C35+E35+F35+H35+I35+K35+L35+N35+O35+T35+Q35+R35</f>
        <v>12.241499999999974</v>
      </c>
      <c r="W35" s="89"/>
    </row>
    <row r="36" spans="1:23" ht="12.75">
      <c r="A36" s="2">
        <v>34</v>
      </c>
      <c r="B36" s="79"/>
      <c r="C36" s="55">
        <f>'2011年11月'!U36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298</v>
      </c>
      <c r="C37" s="55">
        <f>'2011年11月'!U37</f>
        <v>151.07319999999999</v>
      </c>
      <c r="D37" s="56">
        <v>1</v>
      </c>
      <c r="E37" s="57"/>
      <c r="F37" s="58">
        <f t="shared" si="1"/>
        <v>-16.6667</v>
      </c>
      <c r="G37" s="56">
        <v>1</v>
      </c>
      <c r="H37" s="57"/>
      <c r="I37" s="58">
        <f t="shared" si="2"/>
        <v>-9.0909</v>
      </c>
      <c r="J37" s="56"/>
      <c r="K37" s="57"/>
      <c r="L37" s="58">
        <f t="shared" si="3"/>
        <v>0</v>
      </c>
      <c r="M37" s="56">
        <v>1</v>
      </c>
      <c r="N37" s="57">
        <v>500</v>
      </c>
      <c r="O37" s="58">
        <f t="shared" si="4"/>
        <v>-18.75</v>
      </c>
      <c r="P37" s="92">
        <v>1</v>
      </c>
      <c r="Q37" s="101"/>
      <c r="R37" s="58">
        <f t="shared" si="5"/>
        <v>-14.5</v>
      </c>
      <c r="S37" s="56"/>
      <c r="T37" s="59">
        <v>-65</v>
      </c>
      <c r="U37" s="77">
        <f t="shared" si="6"/>
        <v>527.0656</v>
      </c>
      <c r="V37" s="28"/>
      <c r="W37" s="89"/>
    </row>
    <row r="38" spans="1:23" ht="12.75">
      <c r="A38" s="2">
        <v>36</v>
      </c>
      <c r="B38" s="79" t="s">
        <v>299</v>
      </c>
      <c r="C38" s="55">
        <f>'2011年11月'!U38</f>
        <v>47.975100000000005</v>
      </c>
      <c r="D38" s="56">
        <v>1</v>
      </c>
      <c r="E38" s="57"/>
      <c r="F38" s="58">
        <f t="shared" si="1"/>
        <v>-16.6667</v>
      </c>
      <c r="G38" s="56">
        <v>1</v>
      </c>
      <c r="H38" s="57"/>
      <c r="I38" s="58">
        <f t="shared" si="2"/>
        <v>-9.0909</v>
      </c>
      <c r="J38" s="56">
        <v>1</v>
      </c>
      <c r="K38" s="57"/>
      <c r="L38" s="58">
        <f t="shared" si="3"/>
        <v>0</v>
      </c>
      <c r="M38" s="56">
        <v>1</v>
      </c>
      <c r="N38" s="57"/>
      <c r="O38" s="58">
        <f t="shared" si="4"/>
        <v>-18.75</v>
      </c>
      <c r="P38" s="92">
        <v>1</v>
      </c>
      <c r="Q38" s="101">
        <v>100</v>
      </c>
      <c r="R38" s="58">
        <f t="shared" si="5"/>
        <v>-14.5</v>
      </c>
      <c r="S38" s="60"/>
      <c r="T38" s="59">
        <v>-65</v>
      </c>
      <c r="U38" s="77">
        <f t="shared" si="6"/>
        <v>23.96750000000001</v>
      </c>
      <c r="W38" s="89"/>
    </row>
    <row r="39" spans="1:23" ht="12.75">
      <c r="A39" s="2">
        <v>37</v>
      </c>
      <c r="B39" s="82"/>
      <c r="C39" s="67">
        <f>'2011年11月'!U39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'2011年11月'!U42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300</v>
      </c>
      <c r="C43" s="61">
        <f>'2011年11月'!U43</f>
        <v>-8.328499999999998</v>
      </c>
      <c r="D43" s="65">
        <v>1</v>
      </c>
      <c r="E43" s="74"/>
      <c r="F43" s="64">
        <f t="shared" si="1"/>
        <v>-16.6667</v>
      </c>
      <c r="G43" s="65">
        <v>1</v>
      </c>
      <c r="H43" s="74"/>
      <c r="I43" s="64">
        <f t="shared" si="2"/>
        <v>-9.0909</v>
      </c>
      <c r="J43" s="65">
        <v>1</v>
      </c>
      <c r="K43" s="74"/>
      <c r="L43" s="64">
        <f t="shared" si="3"/>
        <v>0</v>
      </c>
      <c r="M43" s="65">
        <v>1</v>
      </c>
      <c r="N43" s="74"/>
      <c r="O43" s="64">
        <f t="shared" si="4"/>
        <v>-18.75</v>
      </c>
      <c r="P43" s="97">
        <v>1</v>
      </c>
      <c r="Q43" s="106"/>
      <c r="R43" s="64">
        <f>-14.5*P43-10</f>
        <v>-24.5</v>
      </c>
      <c r="S43" s="65"/>
      <c r="T43" s="66"/>
      <c r="U43" s="77">
        <f t="shared" si="6"/>
        <v>-77.33609999999999</v>
      </c>
      <c r="W43" s="89"/>
    </row>
    <row r="44" spans="1:23" ht="12.75">
      <c r="A44" s="2">
        <v>42</v>
      </c>
      <c r="B44" s="80" t="s">
        <v>301</v>
      </c>
      <c r="C44" s="61">
        <f>'2011年11月'!U44</f>
        <v>52.59079999999998</v>
      </c>
      <c r="D44" s="65"/>
      <c r="E44" s="74"/>
      <c r="F44" s="64">
        <f t="shared" si="1"/>
        <v>0</v>
      </c>
      <c r="G44" s="65">
        <v>1</v>
      </c>
      <c r="H44" s="74"/>
      <c r="I44" s="64">
        <f t="shared" si="2"/>
        <v>-9.0909</v>
      </c>
      <c r="J44" s="65">
        <v>1</v>
      </c>
      <c r="K44" s="74"/>
      <c r="L44" s="64">
        <f t="shared" si="3"/>
        <v>0</v>
      </c>
      <c r="M44" s="65">
        <v>1</v>
      </c>
      <c r="N44" s="74">
        <v>200</v>
      </c>
      <c r="O44" s="64">
        <f t="shared" si="4"/>
        <v>-18.75</v>
      </c>
      <c r="P44" s="97">
        <v>1</v>
      </c>
      <c r="Q44" s="106"/>
      <c r="R44" s="64">
        <f t="shared" si="5"/>
        <v>-14.5</v>
      </c>
      <c r="S44" s="65"/>
      <c r="T44" s="66">
        <v>-65</v>
      </c>
      <c r="U44" s="77">
        <f t="shared" si="6"/>
        <v>145.24989999999997</v>
      </c>
      <c r="W44" s="89"/>
    </row>
    <row r="45" spans="1:23" ht="12.75">
      <c r="A45" s="2">
        <v>43</v>
      </c>
      <c r="B45" s="81"/>
      <c r="C45" s="43">
        <f>'2011年11月'!U45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'2011年11月'!U46</f>
        <v>-20.932300000000005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-9.0909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-30.023200000000003</v>
      </c>
      <c r="W46" s="89"/>
    </row>
    <row r="47" spans="1:23" ht="12.75">
      <c r="A47" s="2">
        <v>45</v>
      </c>
      <c r="B47" s="81" t="s">
        <v>302</v>
      </c>
      <c r="C47" s="43">
        <f>'2011年11月'!U47</f>
        <v>-39.81150000000002</v>
      </c>
      <c r="D47" s="48">
        <v>1</v>
      </c>
      <c r="E47" s="75"/>
      <c r="F47" s="46">
        <f t="shared" si="1"/>
        <v>-16.6667</v>
      </c>
      <c r="G47" s="48">
        <v>1</v>
      </c>
      <c r="H47" s="75"/>
      <c r="I47" s="46">
        <f t="shared" si="2"/>
        <v>-9.0909</v>
      </c>
      <c r="J47" s="48"/>
      <c r="K47" s="75"/>
      <c r="L47" s="46">
        <f t="shared" si="3"/>
        <v>0</v>
      </c>
      <c r="M47" s="48"/>
      <c r="N47" s="75"/>
      <c r="O47" s="46">
        <f t="shared" si="4"/>
        <v>0</v>
      </c>
      <c r="P47" s="98"/>
      <c r="Q47" s="107"/>
      <c r="R47" s="46">
        <f t="shared" si="5"/>
        <v>0</v>
      </c>
      <c r="S47" s="48"/>
      <c r="T47" s="47"/>
      <c r="U47" s="77">
        <f t="shared" si="6"/>
        <v>-65.56910000000002</v>
      </c>
      <c r="W47" s="89"/>
    </row>
    <row r="48" spans="1:23" ht="12.75">
      <c r="A48" s="2">
        <v>46</v>
      </c>
      <c r="B48" s="78"/>
      <c r="C48" s="49">
        <f>'2011年11月'!U48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'2011年11月'!U49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'2011年11月'!U50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'2011年11月'!U51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303</v>
      </c>
      <c r="C52" s="55">
        <f>'2011年11月'!U52</f>
        <v>-90.32050000000001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-9.0909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>
        <v>1</v>
      </c>
      <c r="Q52" s="73">
        <v>200</v>
      </c>
      <c r="R52" s="58">
        <f t="shared" si="5"/>
        <v>-14.5</v>
      </c>
      <c r="S52" s="56"/>
      <c r="T52" s="59"/>
      <c r="U52" s="77">
        <f t="shared" si="6"/>
        <v>86.08859999999999</v>
      </c>
      <c r="W52" s="89"/>
    </row>
    <row r="53" spans="1:23" ht="12.75">
      <c r="A53" s="2">
        <v>51</v>
      </c>
      <c r="B53" s="87"/>
      <c r="C53" s="55">
        <f>'2011年11月'!U53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18</v>
      </c>
      <c r="F55" s="1">
        <f>E66/D55</f>
        <v>16.666666666666668</v>
      </c>
      <c r="G55" s="1">
        <f>SUM(G3:G53)</f>
        <v>33</v>
      </c>
      <c r="I55" s="1">
        <f>H66/G55</f>
        <v>9.090909090909092</v>
      </c>
      <c r="J55" s="1">
        <f>SUM(J3:J53)</f>
        <v>17</v>
      </c>
      <c r="L55" s="1">
        <f>K66/J55</f>
        <v>17.647058823529413</v>
      </c>
      <c r="M55" s="1">
        <f>SUM(M3:M53)</f>
        <v>16</v>
      </c>
      <c r="O55" s="1">
        <f>N66/M55</f>
        <v>18.75</v>
      </c>
      <c r="P55" s="1">
        <f>SUM(P3:P53)</f>
        <v>20</v>
      </c>
      <c r="R55" s="1">
        <f>Q66/P55</f>
        <v>14.5</v>
      </c>
      <c r="S55" s="1">
        <f>SUM(S3:S54)</f>
        <v>0</v>
      </c>
      <c r="T55" s="27">
        <f>SUM(T3:T53)</f>
        <v>-910</v>
      </c>
      <c r="U55" s="23"/>
    </row>
    <row r="56" spans="4:18" ht="12.75">
      <c r="D56" s="33" t="s">
        <v>304</v>
      </c>
      <c r="F56" s="34" t="s">
        <v>305</v>
      </c>
      <c r="G56" s="33" t="s">
        <v>304</v>
      </c>
      <c r="I56" s="34" t="s">
        <v>305</v>
      </c>
      <c r="J56" s="33" t="s">
        <v>304</v>
      </c>
      <c r="L56" s="34" t="s">
        <v>305</v>
      </c>
      <c r="M56" s="33" t="s">
        <v>304</v>
      </c>
      <c r="O56" s="34" t="s">
        <v>305</v>
      </c>
      <c r="P56" s="33" t="s">
        <v>304</v>
      </c>
      <c r="R56" s="34" t="s">
        <v>305</v>
      </c>
    </row>
    <row r="57" spans="5:21" ht="12.75">
      <c r="E57" s="28" t="s">
        <v>306</v>
      </c>
      <c r="F57" s="1">
        <f>SUM(F3:F53)</f>
        <v>-300.0005999999999</v>
      </c>
      <c r="H57" s="28" t="s">
        <v>306</v>
      </c>
      <c r="I57" s="1">
        <f>SUM(I3:I53)</f>
        <v>-299.99969999999996</v>
      </c>
      <c r="K57" s="28" t="s">
        <v>306</v>
      </c>
      <c r="L57" s="1">
        <f>SUM(L3:L53)</f>
        <v>-300</v>
      </c>
      <c r="N57" s="28" t="s">
        <v>306</v>
      </c>
      <c r="O57" s="1">
        <f>SUM(O3:O53)</f>
        <v>-300</v>
      </c>
      <c r="Q57" s="28" t="s">
        <v>306</v>
      </c>
      <c r="R57" s="1">
        <f>SUM(R3:R53)</f>
        <v>-300</v>
      </c>
      <c r="U57" s="19"/>
    </row>
    <row r="58" spans="2:21" ht="12.75">
      <c r="B58" s="29" t="s">
        <v>307</v>
      </c>
      <c r="C58" s="27">
        <f>SUM(C3:C53)</f>
        <v>1250.0031000000001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3000.0028</v>
      </c>
      <c r="W59" s="89">
        <f>U59</f>
        <v>3000.0028</v>
      </c>
    </row>
    <row r="60" spans="4:20" ht="12.75" customHeight="1">
      <c r="D60" s="147" t="s">
        <v>313</v>
      </c>
      <c r="E60" s="148"/>
      <c r="F60" s="149"/>
      <c r="G60" s="147" t="s">
        <v>314</v>
      </c>
      <c r="H60" s="148"/>
      <c r="I60" s="149"/>
      <c r="J60" s="147" t="s">
        <v>315</v>
      </c>
      <c r="K60" s="148"/>
      <c r="L60" s="149"/>
      <c r="M60" s="147" t="s">
        <v>316</v>
      </c>
      <c r="N60" s="148"/>
      <c r="O60" s="149"/>
      <c r="P60" s="147" t="s">
        <v>317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308</v>
      </c>
      <c r="E66" s="36">
        <f>E68-E84-E93</f>
        <v>300</v>
      </c>
      <c r="F66" s="37"/>
      <c r="G66" s="38" t="s">
        <v>308</v>
      </c>
      <c r="H66" s="36">
        <f>H68-H84-H93</f>
        <v>300</v>
      </c>
      <c r="I66" s="37"/>
      <c r="J66" s="38" t="s">
        <v>308</v>
      </c>
      <c r="K66" s="36">
        <f>K68-K84-K93</f>
        <v>300</v>
      </c>
      <c r="L66" s="37"/>
      <c r="M66" s="38" t="s">
        <v>308</v>
      </c>
      <c r="N66" s="36">
        <f>N68-N84-N93</f>
        <v>300</v>
      </c>
      <c r="O66" s="37"/>
      <c r="P66" s="38" t="s">
        <v>308</v>
      </c>
      <c r="Q66" s="36">
        <f>Q68-Q84-Q93</f>
        <v>290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309</v>
      </c>
      <c r="E68" s="39">
        <v>300</v>
      </c>
      <c r="F68" s="40"/>
      <c r="G68" s="85" t="s">
        <v>309</v>
      </c>
      <c r="H68" s="39">
        <v>300</v>
      </c>
      <c r="I68" s="40"/>
      <c r="J68" s="85" t="s">
        <v>309</v>
      </c>
      <c r="K68" s="39">
        <v>300</v>
      </c>
      <c r="L68" s="40"/>
      <c r="M68" s="85" t="s">
        <v>309</v>
      </c>
      <c r="N68" s="39">
        <v>300</v>
      </c>
      <c r="O68" s="40"/>
      <c r="P68" s="85" t="s">
        <v>309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319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310</v>
      </c>
      <c r="E80" s="142"/>
      <c r="G80" s="141" t="s">
        <v>310</v>
      </c>
      <c r="H80" s="142"/>
      <c r="J80" s="141" t="s">
        <v>310</v>
      </c>
      <c r="K80" s="142"/>
      <c r="M80" s="141" t="s">
        <v>310</v>
      </c>
      <c r="N80" s="142"/>
      <c r="P80" s="141" t="s">
        <v>310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/>
      <c r="J82" s="28"/>
      <c r="M82" s="28"/>
      <c r="N82" s="28"/>
      <c r="P82" s="28" t="s">
        <v>320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311</v>
      </c>
      <c r="E87" s="142"/>
      <c r="G87" s="141" t="s">
        <v>311</v>
      </c>
      <c r="H87" s="142"/>
      <c r="J87" s="141" t="s">
        <v>311</v>
      </c>
      <c r="K87" s="142"/>
      <c r="M87" s="141" t="s">
        <v>311</v>
      </c>
      <c r="N87" s="142"/>
      <c r="P87" s="141" t="s">
        <v>311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72</v>
      </c>
      <c r="K89" s="28" t="s">
        <v>318</v>
      </c>
      <c r="M89" s="109"/>
      <c r="P89" s="109"/>
    </row>
    <row r="93" ht="12.75">
      <c r="G93" s="28"/>
    </row>
    <row r="95" spans="4:18" ht="12.75" customHeight="1">
      <c r="D95" s="144" t="s">
        <v>312</v>
      </c>
      <c r="E95" s="144"/>
      <c r="F95" s="144"/>
      <c r="G95" s="144" t="s">
        <v>312</v>
      </c>
      <c r="H95" s="144"/>
      <c r="I95" s="144"/>
      <c r="J95" s="144" t="s">
        <v>312</v>
      </c>
      <c r="K95" s="144"/>
      <c r="L95" s="144"/>
      <c r="M95" s="144" t="s">
        <v>312</v>
      </c>
      <c r="N95" s="144"/>
      <c r="O95" s="144"/>
      <c r="P95" s="144" t="s">
        <v>312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72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308</v>
      </c>
      <c r="E102" s="142"/>
      <c r="F102" s="142"/>
      <c r="G102" s="143" t="s">
        <v>308</v>
      </c>
      <c r="H102" s="142"/>
      <c r="I102" s="142"/>
      <c r="J102" s="143" t="s">
        <v>308</v>
      </c>
      <c r="K102" s="142"/>
      <c r="L102" s="142"/>
      <c r="M102" s="143" t="s">
        <v>308</v>
      </c>
      <c r="N102" s="142"/>
      <c r="O102" s="142"/>
      <c r="P102" s="143" t="s">
        <v>308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40916</v>
      </c>
      <c r="E1" s="155"/>
      <c r="F1" s="156"/>
      <c r="G1" s="16"/>
      <c r="H1" s="24">
        <v>40923</v>
      </c>
      <c r="I1" s="17"/>
      <c r="J1" s="30"/>
      <c r="K1" s="24"/>
      <c r="L1" s="31"/>
      <c r="M1" s="16"/>
      <c r="N1" s="24"/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'2011年12月'!U3</f>
        <v>44.43600000000001</v>
      </c>
      <c r="D3" s="50">
        <v>1</v>
      </c>
      <c r="E3" s="51"/>
      <c r="F3" s="52">
        <f>-9.3548*D3</f>
        <v>-9.3548</v>
      </c>
      <c r="G3" s="50">
        <v>1</v>
      </c>
      <c r="H3" s="51">
        <v>90</v>
      </c>
      <c r="I3" s="52">
        <f>-15.7895*G3</f>
        <v>-15.7895</v>
      </c>
      <c r="J3" s="50"/>
      <c r="K3" s="51"/>
      <c r="L3" s="52">
        <f>-17.353*J3</f>
        <v>0</v>
      </c>
      <c r="M3" s="50"/>
      <c r="N3" s="51"/>
      <c r="O3" s="52">
        <f>-17.353*M3</f>
        <v>0</v>
      </c>
      <c r="P3" s="90"/>
      <c r="Q3" s="99"/>
      <c r="R3" s="52"/>
      <c r="S3" s="50"/>
      <c r="T3" s="53"/>
      <c r="U3" s="77">
        <f aca="true" t="shared" si="0" ref="U3:U34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'2011年12月'!U4</f>
        <v>51.7157</v>
      </c>
      <c r="D4" s="50">
        <v>1</v>
      </c>
      <c r="E4" s="51"/>
      <c r="F4" s="52">
        <f aca="true" t="shared" si="1" ref="F4:F53">-9.3548*D4</f>
        <v>-9.3548</v>
      </c>
      <c r="G4" s="50">
        <v>1</v>
      </c>
      <c r="H4" s="51"/>
      <c r="I4" s="52">
        <f aca="true" t="shared" si="2" ref="I4:I53">-15.7895*G4</f>
        <v>-15.7895</v>
      </c>
      <c r="J4" s="50"/>
      <c r="K4" s="51"/>
      <c r="L4" s="52">
        <f aca="true" t="shared" si="3" ref="L4:L53">-17.353*J4</f>
        <v>0</v>
      </c>
      <c r="M4" s="50"/>
      <c r="N4" s="51"/>
      <c r="O4" s="52"/>
      <c r="P4" s="90"/>
      <c r="Q4" s="99"/>
      <c r="R4" s="52"/>
      <c r="S4" s="54"/>
      <c r="T4" s="53"/>
      <c r="U4" s="77">
        <f t="shared" si="0"/>
        <v>26.5714</v>
      </c>
      <c r="W4" s="89"/>
    </row>
    <row r="5" spans="1:23" ht="12.75">
      <c r="A5" s="2">
        <v>3</v>
      </c>
      <c r="B5" s="78" t="s">
        <v>322</v>
      </c>
      <c r="C5" s="49">
        <f>'2011年12月'!U5</f>
        <v>34.8336</v>
      </c>
      <c r="D5" s="50">
        <v>1</v>
      </c>
      <c r="E5" s="51"/>
      <c r="F5" s="52">
        <f t="shared" si="1"/>
        <v>-9.3548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/>
      <c r="P5" s="90"/>
      <c r="Q5" s="99"/>
      <c r="R5" s="52"/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79" t="s">
        <v>323</v>
      </c>
      <c r="C6" s="55">
        <f>'2011年12月'!U6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/>
      <c r="P6" s="91"/>
      <c r="Q6" s="100"/>
      <c r="R6" s="58"/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324</v>
      </c>
      <c r="C7" s="55">
        <f>'2011年12月'!U7</f>
        <v>166.9685</v>
      </c>
      <c r="D7" s="56">
        <v>1</v>
      </c>
      <c r="E7" s="57"/>
      <c r="F7" s="58">
        <f t="shared" si="1"/>
        <v>-9.3548</v>
      </c>
      <c r="G7" s="56">
        <v>1</v>
      </c>
      <c r="H7" s="57"/>
      <c r="I7" s="58">
        <f t="shared" si="2"/>
        <v>-15.7895</v>
      </c>
      <c r="J7" s="56"/>
      <c r="K7" s="57"/>
      <c r="L7" s="58">
        <f t="shared" si="3"/>
        <v>0</v>
      </c>
      <c r="M7" s="56"/>
      <c r="N7" s="57"/>
      <c r="O7" s="58"/>
      <c r="P7" s="92"/>
      <c r="Q7" s="101"/>
      <c r="R7" s="58"/>
      <c r="S7" s="56"/>
      <c r="T7" s="59"/>
      <c r="U7" s="77">
        <f t="shared" si="0"/>
        <v>141.8242</v>
      </c>
      <c r="W7" s="89"/>
    </row>
    <row r="8" spans="1:23" ht="12.75">
      <c r="A8" s="2">
        <v>6</v>
      </c>
      <c r="B8" s="79" t="s">
        <v>325</v>
      </c>
      <c r="C8" s="55">
        <f>'2011年12月'!U8</f>
        <v>30.08590000000003</v>
      </c>
      <c r="D8" s="56">
        <v>1</v>
      </c>
      <c r="E8" s="57"/>
      <c r="F8" s="58">
        <f t="shared" si="1"/>
        <v>-9.3548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/>
      <c r="P8" s="92"/>
      <c r="Q8" s="101"/>
      <c r="R8" s="58"/>
      <c r="S8" s="60"/>
      <c r="T8" s="59"/>
      <c r="U8" s="77">
        <f t="shared" si="0"/>
        <v>20.731100000000033</v>
      </c>
      <c r="W8" s="89"/>
    </row>
    <row r="9" spans="1:23" ht="12.75">
      <c r="A9" s="2">
        <v>7</v>
      </c>
      <c r="B9" s="82" t="s">
        <v>366</v>
      </c>
      <c r="C9" s="67">
        <f>'2011年12月'!U9</f>
        <v>0</v>
      </c>
      <c r="D9" s="68"/>
      <c r="E9" s="69"/>
      <c r="F9" s="70">
        <f t="shared" si="1"/>
        <v>0</v>
      </c>
      <c r="G9" s="68">
        <v>1</v>
      </c>
      <c r="H9" s="69">
        <v>100</v>
      </c>
      <c r="I9" s="70">
        <f t="shared" si="2"/>
        <v>-15.7895</v>
      </c>
      <c r="J9" s="68"/>
      <c r="K9" s="69"/>
      <c r="L9" s="70">
        <f t="shared" si="3"/>
        <v>0</v>
      </c>
      <c r="M9" s="68"/>
      <c r="N9" s="69"/>
      <c r="O9" s="70"/>
      <c r="P9" s="93"/>
      <c r="Q9" s="102"/>
      <c r="R9" s="70"/>
      <c r="S9" s="68"/>
      <c r="T9" s="71"/>
      <c r="U9" s="77">
        <f t="shared" si="0"/>
        <v>84.2105</v>
      </c>
      <c r="W9" s="89"/>
    </row>
    <row r="10" spans="1:23" ht="12.75">
      <c r="A10" s="2">
        <v>8</v>
      </c>
      <c r="B10" s="82" t="s">
        <v>326</v>
      </c>
      <c r="C10" s="67">
        <f>'2011年12月'!U10</f>
        <v>140.7298</v>
      </c>
      <c r="D10" s="72">
        <v>1</v>
      </c>
      <c r="E10" s="69"/>
      <c r="F10" s="70">
        <f t="shared" si="1"/>
        <v>-9.3548</v>
      </c>
      <c r="G10" s="72">
        <v>1</v>
      </c>
      <c r="H10" s="69"/>
      <c r="I10" s="70">
        <f t="shared" si="2"/>
        <v>-15.7895</v>
      </c>
      <c r="J10" s="72"/>
      <c r="K10" s="69"/>
      <c r="L10" s="70">
        <f t="shared" si="3"/>
        <v>0</v>
      </c>
      <c r="M10" s="72"/>
      <c r="N10" s="69"/>
      <c r="O10" s="70"/>
      <c r="P10" s="94"/>
      <c r="Q10" s="103"/>
      <c r="R10" s="70"/>
      <c r="S10" s="72"/>
      <c r="T10" s="71"/>
      <c r="U10" s="77">
        <f t="shared" si="0"/>
        <v>115.5855</v>
      </c>
      <c r="W10" s="89"/>
    </row>
    <row r="11" spans="1:23" ht="12.75">
      <c r="A11" s="2">
        <v>9</v>
      </c>
      <c r="B11" s="82" t="s">
        <v>327</v>
      </c>
      <c r="C11" s="67">
        <f>'2011年12月'!U11</f>
        <v>-34.425200000000004</v>
      </c>
      <c r="D11" s="68">
        <v>1</v>
      </c>
      <c r="E11" s="69"/>
      <c r="F11" s="70">
        <f t="shared" si="1"/>
        <v>-9.3548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/>
      <c r="P11" s="93"/>
      <c r="Q11" s="102"/>
      <c r="R11" s="70"/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80" t="s">
        <v>328</v>
      </c>
      <c r="C12" s="61">
        <f>'2011年12月'!U12</f>
        <v>230.5584</v>
      </c>
      <c r="D12" s="62">
        <v>1</v>
      </c>
      <c r="E12" s="63"/>
      <c r="F12" s="64">
        <f t="shared" si="1"/>
        <v>-9.3548</v>
      </c>
      <c r="G12" s="62">
        <v>1</v>
      </c>
      <c r="H12" s="63"/>
      <c r="I12" s="64">
        <f t="shared" si="2"/>
        <v>-15.7895</v>
      </c>
      <c r="J12" s="62"/>
      <c r="K12" s="63"/>
      <c r="L12" s="64">
        <f t="shared" si="3"/>
        <v>0</v>
      </c>
      <c r="M12" s="62"/>
      <c r="N12" s="63"/>
      <c r="O12" s="64"/>
      <c r="P12" s="95"/>
      <c r="Q12" s="104"/>
      <c r="R12" s="64"/>
      <c r="S12" s="62"/>
      <c r="T12" s="66"/>
      <c r="U12" s="77">
        <f t="shared" si="0"/>
        <v>205.4141</v>
      </c>
      <c r="W12" s="89"/>
    </row>
    <row r="13" spans="1:23" ht="12.75">
      <c r="A13" s="2">
        <v>11</v>
      </c>
      <c r="B13" s="80"/>
      <c r="C13" s="61">
        <f>'2011年12月'!U13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/>
      <c r="P13" s="95"/>
      <c r="Q13" s="104"/>
      <c r="R13" s="64"/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329</v>
      </c>
      <c r="C14" s="61">
        <f>'2011年12月'!U14</f>
        <v>58.73130000000001</v>
      </c>
      <c r="D14" s="62">
        <v>1</v>
      </c>
      <c r="E14" s="63"/>
      <c r="F14" s="64">
        <f t="shared" si="1"/>
        <v>-9.3548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/>
      <c r="P14" s="95"/>
      <c r="Q14" s="104"/>
      <c r="R14" s="64"/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81" t="s">
        <v>330</v>
      </c>
      <c r="C15" s="43">
        <f>'2011年12月'!U15</f>
        <v>97.34539999999997</v>
      </c>
      <c r="D15" s="44">
        <v>1</v>
      </c>
      <c r="E15" s="45"/>
      <c r="F15" s="46">
        <f t="shared" si="1"/>
        <v>-9.3548</v>
      </c>
      <c r="G15" s="44">
        <v>1</v>
      </c>
      <c r="H15" s="45"/>
      <c r="I15" s="46">
        <f t="shared" si="2"/>
        <v>-15.7895</v>
      </c>
      <c r="J15" s="44"/>
      <c r="K15" s="45"/>
      <c r="L15" s="46">
        <f t="shared" si="3"/>
        <v>0</v>
      </c>
      <c r="M15" s="44"/>
      <c r="N15" s="45"/>
      <c r="O15" s="46"/>
      <c r="P15" s="96"/>
      <c r="Q15" s="105"/>
      <c r="R15" s="46"/>
      <c r="S15" s="48"/>
      <c r="T15" s="47"/>
      <c r="U15" s="77">
        <f t="shared" si="0"/>
        <v>72.20109999999997</v>
      </c>
      <c r="W15" s="89"/>
    </row>
    <row r="16" spans="1:23" ht="12.75">
      <c r="A16" s="2">
        <v>14</v>
      </c>
      <c r="B16" s="81" t="s">
        <v>331</v>
      </c>
      <c r="C16" s="43">
        <f>'2011年12月'!U16</f>
        <v>165.5804</v>
      </c>
      <c r="D16" s="44">
        <v>1</v>
      </c>
      <c r="E16" s="45"/>
      <c r="F16" s="46">
        <f t="shared" si="1"/>
        <v>-9.3548</v>
      </c>
      <c r="G16" s="44">
        <v>1</v>
      </c>
      <c r="H16" s="45"/>
      <c r="I16" s="46">
        <f t="shared" si="2"/>
        <v>-15.7895</v>
      </c>
      <c r="J16" s="44"/>
      <c r="K16" s="45"/>
      <c r="L16" s="46">
        <f t="shared" si="3"/>
        <v>0</v>
      </c>
      <c r="M16" s="44"/>
      <c r="N16" s="45"/>
      <c r="O16" s="46"/>
      <c r="P16" s="96"/>
      <c r="Q16" s="105"/>
      <c r="R16" s="46"/>
      <c r="S16" s="44"/>
      <c r="T16" s="47"/>
      <c r="U16" s="77">
        <f t="shared" si="0"/>
        <v>140.43609999999998</v>
      </c>
      <c r="W16" s="89"/>
    </row>
    <row r="17" spans="1:23" ht="12.75">
      <c r="A17" s="2">
        <v>15</v>
      </c>
      <c r="B17" s="81" t="s">
        <v>332</v>
      </c>
      <c r="C17" s="43">
        <f>'2011年12月'!U17</f>
        <v>31.7297</v>
      </c>
      <c r="D17" s="44">
        <v>1</v>
      </c>
      <c r="E17" s="45"/>
      <c r="F17" s="46">
        <f t="shared" si="1"/>
        <v>-9.3548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/>
      <c r="P17" s="96"/>
      <c r="Q17" s="105"/>
      <c r="R17" s="46"/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78" t="s">
        <v>333</v>
      </c>
      <c r="C18" s="49">
        <f>'2011年12月'!U18</f>
        <v>-38.06740000000002</v>
      </c>
      <c r="D18" s="50">
        <v>1</v>
      </c>
      <c r="E18" s="51"/>
      <c r="F18" s="52">
        <f t="shared" si="1"/>
        <v>-9.3548</v>
      </c>
      <c r="G18" s="50">
        <v>1</v>
      </c>
      <c r="H18" s="51">
        <v>100</v>
      </c>
      <c r="I18" s="52">
        <f t="shared" si="2"/>
        <v>-15.7895</v>
      </c>
      <c r="J18" s="50"/>
      <c r="K18" s="51"/>
      <c r="L18" s="52">
        <f t="shared" si="3"/>
        <v>0</v>
      </c>
      <c r="M18" s="50"/>
      <c r="N18" s="51"/>
      <c r="O18" s="52"/>
      <c r="P18" s="90"/>
      <c r="Q18" s="99"/>
      <c r="R18" s="52"/>
      <c r="S18" s="50"/>
      <c r="T18" s="53"/>
      <c r="U18" s="77">
        <f t="shared" si="0"/>
        <v>36.78829999999998</v>
      </c>
      <c r="W18" s="89"/>
    </row>
    <row r="19" spans="1:23" ht="12.75">
      <c r="A19" s="2">
        <v>17</v>
      </c>
      <c r="B19" s="78" t="s">
        <v>334</v>
      </c>
      <c r="C19" s="49">
        <f>'2011年12月'!U19</f>
        <v>73.87209999999999</v>
      </c>
      <c r="D19" s="50">
        <v>1</v>
      </c>
      <c r="E19" s="51"/>
      <c r="F19" s="52">
        <f t="shared" si="1"/>
        <v>-9.3548</v>
      </c>
      <c r="G19" s="50">
        <v>1</v>
      </c>
      <c r="H19" s="51"/>
      <c r="I19" s="52">
        <f t="shared" si="2"/>
        <v>-15.7895</v>
      </c>
      <c r="J19" s="50"/>
      <c r="K19" s="51"/>
      <c r="L19" s="52">
        <f t="shared" si="3"/>
        <v>0</v>
      </c>
      <c r="M19" s="50"/>
      <c r="N19" s="51"/>
      <c r="O19" s="52"/>
      <c r="P19" s="90"/>
      <c r="Q19" s="99"/>
      <c r="R19" s="52"/>
      <c r="S19" s="54"/>
      <c r="T19" s="53"/>
      <c r="U19" s="77">
        <f t="shared" si="0"/>
        <v>48.72779999999999</v>
      </c>
      <c r="W19" s="89"/>
    </row>
    <row r="20" spans="1:23" ht="12.75">
      <c r="A20" s="2">
        <v>18</v>
      </c>
      <c r="B20" s="78" t="s">
        <v>335</v>
      </c>
      <c r="C20" s="49">
        <f>'2011年12月'!U20</f>
        <v>21.483400000000003</v>
      </c>
      <c r="D20" s="50">
        <v>1</v>
      </c>
      <c r="E20" s="51"/>
      <c r="F20" s="52">
        <f t="shared" si="1"/>
        <v>-9.3548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/>
      <c r="P20" s="90"/>
      <c r="Q20" s="99"/>
      <c r="R20" s="52"/>
      <c r="S20" s="50"/>
      <c r="T20" s="53"/>
      <c r="U20" s="77">
        <f t="shared" si="0"/>
        <v>12.128600000000004</v>
      </c>
      <c r="W20" s="89"/>
    </row>
    <row r="21" spans="1:23" ht="12.75">
      <c r="A21" s="2">
        <v>19</v>
      </c>
      <c r="B21" s="79" t="s">
        <v>336</v>
      </c>
      <c r="C21" s="55">
        <f>'2011年12月'!U21</f>
        <v>72.29129999999998</v>
      </c>
      <c r="D21" s="56">
        <v>1</v>
      </c>
      <c r="E21" s="57"/>
      <c r="F21" s="58">
        <f t="shared" si="1"/>
        <v>-9.3548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/>
      <c r="P21" s="92"/>
      <c r="Q21" s="101"/>
      <c r="R21" s="58"/>
      <c r="S21" s="60"/>
      <c r="T21" s="59"/>
      <c r="U21" s="77">
        <f t="shared" si="0"/>
        <v>62.93649999999998</v>
      </c>
      <c r="W21" s="89"/>
    </row>
    <row r="22" spans="1:23" ht="12.75">
      <c r="A22" s="2">
        <v>20</v>
      </c>
      <c r="B22" s="79" t="s">
        <v>337</v>
      </c>
      <c r="C22" s="55">
        <f>'2011年12月'!U22</f>
        <v>2.910300000000035</v>
      </c>
      <c r="D22" s="56">
        <v>1</v>
      </c>
      <c r="E22" s="57"/>
      <c r="F22" s="58">
        <f t="shared" si="1"/>
        <v>-9.3548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/>
      <c r="P22" s="92"/>
      <c r="Q22" s="101"/>
      <c r="R22" s="58"/>
      <c r="S22" s="56"/>
      <c r="T22" s="59"/>
      <c r="U22" s="77">
        <f t="shared" si="0"/>
        <v>-6.444499999999964</v>
      </c>
      <c r="W22" s="89"/>
    </row>
    <row r="23" spans="1:23" ht="12.75">
      <c r="A23" s="2">
        <v>21</v>
      </c>
      <c r="B23" s="79" t="s">
        <v>338</v>
      </c>
      <c r="C23" s="55">
        <f>'2011年12月'!U23</f>
        <v>59.753899999999994</v>
      </c>
      <c r="D23" s="56">
        <v>1</v>
      </c>
      <c r="E23" s="57"/>
      <c r="F23" s="58">
        <f t="shared" si="1"/>
        <v>-9.3548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/>
      <c r="P23" s="92"/>
      <c r="Q23" s="101"/>
      <c r="R23" s="58"/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82" t="s">
        <v>339</v>
      </c>
      <c r="C24" s="67">
        <f>'2011年12月'!U24</f>
        <v>166.4534</v>
      </c>
      <c r="D24" s="68">
        <v>1</v>
      </c>
      <c r="E24" s="69"/>
      <c r="F24" s="70">
        <f t="shared" si="1"/>
        <v>-9.3548</v>
      </c>
      <c r="G24" s="68">
        <v>1</v>
      </c>
      <c r="H24" s="69"/>
      <c r="I24" s="70">
        <f t="shared" si="2"/>
        <v>-15.7895</v>
      </c>
      <c r="J24" s="68"/>
      <c r="K24" s="69"/>
      <c r="L24" s="70">
        <f t="shared" si="3"/>
        <v>0</v>
      </c>
      <c r="M24" s="68"/>
      <c r="N24" s="69"/>
      <c r="O24" s="70"/>
      <c r="P24" s="93"/>
      <c r="Q24" s="102"/>
      <c r="R24" s="70"/>
      <c r="S24" s="68"/>
      <c r="T24" s="71"/>
      <c r="U24" s="77">
        <f t="shared" si="0"/>
        <v>141.30909999999997</v>
      </c>
      <c r="W24" s="89"/>
    </row>
    <row r="25" spans="1:23" ht="12.75">
      <c r="A25" s="2">
        <v>23</v>
      </c>
      <c r="B25" s="82" t="s">
        <v>340</v>
      </c>
      <c r="C25" s="67">
        <f>'2011年12月'!U25</f>
        <v>6.076500000000038</v>
      </c>
      <c r="D25" s="68">
        <v>1</v>
      </c>
      <c r="E25" s="69"/>
      <c r="F25" s="70">
        <f t="shared" si="1"/>
        <v>-9.3548</v>
      </c>
      <c r="G25" s="68">
        <v>1</v>
      </c>
      <c r="H25" s="69"/>
      <c r="I25" s="70">
        <f t="shared" si="2"/>
        <v>-15.7895</v>
      </c>
      <c r="J25" s="68"/>
      <c r="K25" s="69"/>
      <c r="L25" s="70">
        <f t="shared" si="3"/>
        <v>0</v>
      </c>
      <c r="M25" s="68"/>
      <c r="N25" s="69"/>
      <c r="O25" s="70"/>
      <c r="P25" s="93"/>
      <c r="Q25" s="102"/>
      <c r="R25" s="70"/>
      <c r="S25" s="68"/>
      <c r="T25" s="71"/>
      <c r="U25" s="77">
        <f t="shared" si="0"/>
        <v>-19.067799999999963</v>
      </c>
      <c r="W25" s="89"/>
    </row>
    <row r="26" spans="1:23" ht="12.75">
      <c r="A26" s="2">
        <v>24</v>
      </c>
      <c r="B26" s="82" t="s">
        <v>341</v>
      </c>
      <c r="C26" s="67">
        <f>'2011年12月'!U26</f>
        <v>275.3117</v>
      </c>
      <c r="D26" s="68">
        <v>1</v>
      </c>
      <c r="E26" s="69"/>
      <c r="F26" s="70">
        <f t="shared" si="1"/>
        <v>-9.3548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/>
      <c r="P26" s="93"/>
      <c r="Q26" s="102"/>
      <c r="R26" s="70"/>
      <c r="S26" s="72"/>
      <c r="T26" s="71"/>
      <c r="U26" s="77">
        <f t="shared" si="0"/>
        <v>265.95689999999996</v>
      </c>
      <c r="W26" s="89"/>
    </row>
    <row r="27" spans="1:23" ht="12.75">
      <c r="A27" s="2">
        <v>25</v>
      </c>
      <c r="B27" s="80"/>
      <c r="C27" s="61">
        <f>'2011年12月'!U27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/>
      <c r="P27" s="95"/>
      <c r="Q27" s="104"/>
      <c r="R27" s="64"/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342</v>
      </c>
      <c r="C28" s="61">
        <f>'2011年12月'!U28</f>
        <v>-76.58840000000001</v>
      </c>
      <c r="D28" s="65">
        <v>1</v>
      </c>
      <c r="E28" s="74"/>
      <c r="F28" s="64">
        <f t="shared" si="1"/>
        <v>-9.3548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/>
      <c r="P28" s="97"/>
      <c r="Q28" s="106"/>
      <c r="R28" s="64"/>
      <c r="S28" s="65"/>
      <c r="T28" s="66"/>
      <c r="U28" s="77">
        <f t="shared" si="0"/>
        <v>-85.9432</v>
      </c>
      <c r="W28" s="89"/>
    </row>
    <row r="29" spans="1:23" ht="12.75">
      <c r="A29" s="2">
        <v>27</v>
      </c>
      <c r="B29" s="80"/>
      <c r="C29" s="61">
        <f>'2011年12月'!U29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/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343</v>
      </c>
      <c r="C30" s="43">
        <f>'2011年12月'!U30</f>
        <v>-41.175999999999995</v>
      </c>
      <c r="D30" s="48">
        <v>1</v>
      </c>
      <c r="E30" s="75"/>
      <c r="F30" s="46">
        <f t="shared" si="1"/>
        <v>-9.3548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/>
      <c r="P30" s="98"/>
      <c r="Q30" s="107"/>
      <c r="R30" s="46"/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81"/>
      <c r="C31" s="43">
        <f>'2011年12月'!U31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/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344</v>
      </c>
      <c r="C32" s="43">
        <f>'2011年12月'!U32</f>
        <v>138.5508</v>
      </c>
      <c r="D32" s="48"/>
      <c r="E32" s="75"/>
      <c r="F32" s="46">
        <f t="shared" si="1"/>
        <v>0</v>
      </c>
      <c r="G32" s="48">
        <v>1</v>
      </c>
      <c r="H32" s="75"/>
      <c r="I32" s="46">
        <f t="shared" si="2"/>
        <v>-15.7895</v>
      </c>
      <c r="J32" s="48"/>
      <c r="K32" s="75"/>
      <c r="L32" s="46">
        <f t="shared" si="3"/>
        <v>0</v>
      </c>
      <c r="M32" s="48"/>
      <c r="N32" s="75"/>
      <c r="O32" s="46"/>
      <c r="P32" s="98"/>
      <c r="Q32" s="107"/>
      <c r="R32" s="46"/>
      <c r="S32" s="48"/>
      <c r="T32" s="47"/>
      <c r="U32" s="77">
        <f t="shared" si="0"/>
        <v>122.7613</v>
      </c>
      <c r="W32" s="89"/>
    </row>
    <row r="33" spans="1:23" ht="12.75">
      <c r="A33" s="2">
        <v>31</v>
      </c>
      <c r="B33" s="78" t="s">
        <v>345</v>
      </c>
      <c r="C33" s="49">
        <f>'2011年12月'!U33</f>
        <v>133.69979999999998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/>
      <c r="P33" s="90"/>
      <c r="Q33" s="99"/>
      <c r="R33" s="52"/>
      <c r="S33" s="50"/>
      <c r="T33" s="53"/>
      <c r="U33" s="77">
        <f t="shared" si="0"/>
        <v>133.69979999999998</v>
      </c>
      <c r="W33" s="89"/>
    </row>
    <row r="34" spans="1:23" ht="12.75">
      <c r="A34" s="2">
        <v>32</v>
      </c>
      <c r="B34" s="78" t="s">
        <v>346</v>
      </c>
      <c r="C34" s="49">
        <f>'2011年12月'!U34</f>
        <v>497.05039999999997</v>
      </c>
      <c r="D34" s="50">
        <v>1</v>
      </c>
      <c r="E34" s="51"/>
      <c r="F34" s="52">
        <f t="shared" si="1"/>
        <v>-9.3548</v>
      </c>
      <c r="G34" s="88">
        <v>1</v>
      </c>
      <c r="H34" s="51"/>
      <c r="I34" s="52">
        <f t="shared" si="2"/>
        <v>-15.7895</v>
      </c>
      <c r="J34" s="88"/>
      <c r="K34" s="51"/>
      <c r="L34" s="52">
        <f t="shared" si="3"/>
        <v>0</v>
      </c>
      <c r="M34" s="50"/>
      <c r="N34" s="51"/>
      <c r="O34" s="52"/>
      <c r="P34" s="90"/>
      <c r="Q34" s="99"/>
      <c r="R34" s="52"/>
      <c r="S34" s="54"/>
      <c r="T34" s="53"/>
      <c r="U34" s="77">
        <f t="shared" si="0"/>
        <v>471.9061</v>
      </c>
      <c r="W34" s="89"/>
    </row>
    <row r="35" spans="1:23" ht="12.75">
      <c r="A35" s="2">
        <v>33</v>
      </c>
      <c r="B35" s="78" t="s">
        <v>347</v>
      </c>
      <c r="C35" s="49">
        <f>'2011年12月'!U35</f>
        <v>12.241499999999974</v>
      </c>
      <c r="D35" s="50">
        <v>1</v>
      </c>
      <c r="E35" s="51">
        <v>200</v>
      </c>
      <c r="F35" s="52">
        <f t="shared" si="1"/>
        <v>-9.3548</v>
      </c>
      <c r="G35" s="50">
        <v>1</v>
      </c>
      <c r="H35" s="51"/>
      <c r="I35" s="52">
        <f t="shared" si="2"/>
        <v>-15.7895</v>
      </c>
      <c r="J35" s="50"/>
      <c r="K35" s="51"/>
      <c r="L35" s="52">
        <f t="shared" si="3"/>
        <v>0</v>
      </c>
      <c r="M35" s="50"/>
      <c r="N35" s="51"/>
      <c r="O35" s="52"/>
      <c r="P35" s="90"/>
      <c r="Q35" s="99"/>
      <c r="R35" s="52"/>
      <c r="S35" s="50"/>
      <c r="T35" s="53"/>
      <c r="U35" s="77">
        <f aca="true" t="shared" si="4" ref="U35:U53">C35+E35+F35+H35+I35+K35+L35+N35+O35+T35+Q35+R35</f>
        <v>187.09719999999996</v>
      </c>
      <c r="W35" s="89"/>
    </row>
    <row r="36" spans="1:23" ht="12.75">
      <c r="A36" s="2">
        <v>34</v>
      </c>
      <c r="B36" s="79"/>
      <c r="C36" s="55">
        <f>'2011年12月'!U36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79" t="s">
        <v>348</v>
      </c>
      <c r="C37" s="55">
        <f>'2011年12月'!U37</f>
        <v>527.0656</v>
      </c>
      <c r="D37" s="56">
        <v>1</v>
      </c>
      <c r="E37" s="57"/>
      <c r="F37" s="58">
        <f t="shared" si="1"/>
        <v>-9.3548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/>
      <c r="P37" s="92"/>
      <c r="Q37" s="101"/>
      <c r="R37" s="58"/>
      <c r="S37" s="56"/>
      <c r="T37" s="59"/>
      <c r="U37" s="77">
        <f t="shared" si="4"/>
        <v>517.7108000000001</v>
      </c>
      <c r="V37" s="28"/>
      <c r="W37" s="89"/>
    </row>
    <row r="38" spans="1:23" ht="12.75">
      <c r="A38" s="2">
        <v>36</v>
      </c>
      <c r="B38" s="79" t="s">
        <v>349</v>
      </c>
      <c r="C38" s="55">
        <f>'2011年12月'!U38</f>
        <v>23.96750000000001</v>
      </c>
      <c r="D38" s="56">
        <v>1</v>
      </c>
      <c r="E38" s="57"/>
      <c r="F38" s="58">
        <f t="shared" si="1"/>
        <v>-9.3548</v>
      </c>
      <c r="G38" s="56">
        <v>1</v>
      </c>
      <c r="H38" s="57"/>
      <c r="I38" s="58">
        <f t="shared" si="2"/>
        <v>-15.7895</v>
      </c>
      <c r="J38" s="56"/>
      <c r="K38" s="57"/>
      <c r="L38" s="58">
        <f t="shared" si="3"/>
        <v>0</v>
      </c>
      <c r="M38" s="56"/>
      <c r="N38" s="57"/>
      <c r="O38" s="58"/>
      <c r="P38" s="92"/>
      <c r="Q38" s="101"/>
      <c r="R38" s="58"/>
      <c r="S38" s="60"/>
      <c r="T38" s="59"/>
      <c r="U38" s="77">
        <f t="shared" si="4"/>
        <v>-1.1767999999999912</v>
      </c>
      <c r="W38" s="89"/>
    </row>
    <row r="39" spans="1:23" ht="12.75">
      <c r="A39" s="2">
        <v>37</v>
      </c>
      <c r="B39" s="82"/>
      <c r="C39" s="67">
        <f>'2011年12月'!U39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/>
      <c r="P39" s="93"/>
      <c r="Q39" s="102"/>
      <c r="R39" s="70"/>
      <c r="S39" s="68"/>
      <c r="T39" s="71"/>
      <c r="U39" s="77">
        <f t="shared" si="4"/>
        <v>0</v>
      </c>
      <c r="W39" s="89"/>
    </row>
    <row r="40" spans="1:23" ht="12.75">
      <c r="A40" s="2">
        <v>38</v>
      </c>
      <c r="B40" s="82"/>
      <c r="C40" s="67">
        <f>'2011年12月'!U40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/>
      <c r="P40" s="93"/>
      <c r="Q40" s="102"/>
      <c r="R40" s="70"/>
      <c r="S40" s="68"/>
      <c r="T40" s="71"/>
      <c r="U40" s="110">
        <f t="shared" si="4"/>
        <v>0</v>
      </c>
      <c r="W40" s="89"/>
    </row>
    <row r="41" spans="1:23" ht="12.75">
      <c r="A41" s="2">
        <v>39</v>
      </c>
      <c r="B41" s="82"/>
      <c r="C41" s="67">
        <f>'2011年12月'!U41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80"/>
      <c r="C42" s="61">
        <f>'2011年12月'!U42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/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80" t="s">
        <v>350</v>
      </c>
      <c r="C43" s="61">
        <f>'2011年12月'!U43</f>
        <v>-77.33609999999999</v>
      </c>
      <c r="D43" s="65">
        <v>1</v>
      </c>
      <c r="E43" s="74"/>
      <c r="F43" s="64">
        <f t="shared" si="1"/>
        <v>-9.3548</v>
      </c>
      <c r="G43" s="65">
        <v>1</v>
      </c>
      <c r="H43" s="74"/>
      <c r="I43" s="64">
        <f t="shared" si="2"/>
        <v>-15.7895</v>
      </c>
      <c r="J43" s="65"/>
      <c r="K43" s="74"/>
      <c r="L43" s="64">
        <f t="shared" si="3"/>
        <v>0</v>
      </c>
      <c r="M43" s="65"/>
      <c r="N43" s="74"/>
      <c r="O43" s="64"/>
      <c r="P43" s="97"/>
      <c r="Q43" s="106"/>
      <c r="R43" s="64"/>
      <c r="S43" s="65"/>
      <c r="T43" s="66"/>
      <c r="U43" s="77">
        <f t="shared" si="4"/>
        <v>-102.48039999999999</v>
      </c>
      <c r="W43" s="89"/>
    </row>
    <row r="44" spans="1:23" ht="12.75">
      <c r="A44" s="2">
        <v>42</v>
      </c>
      <c r="B44" s="80" t="s">
        <v>351</v>
      </c>
      <c r="C44" s="61">
        <f>'2011年12月'!U44</f>
        <v>145.24989999999997</v>
      </c>
      <c r="D44" s="65">
        <v>1</v>
      </c>
      <c r="E44" s="74"/>
      <c r="F44" s="64">
        <f t="shared" si="1"/>
        <v>-9.3548</v>
      </c>
      <c r="G44" s="65">
        <v>1</v>
      </c>
      <c r="H44" s="74"/>
      <c r="I44" s="64">
        <f t="shared" si="2"/>
        <v>-15.7895</v>
      </c>
      <c r="J44" s="65"/>
      <c r="K44" s="74"/>
      <c r="L44" s="64">
        <f t="shared" si="3"/>
        <v>0</v>
      </c>
      <c r="M44" s="65"/>
      <c r="N44" s="74"/>
      <c r="O44" s="64"/>
      <c r="P44" s="97"/>
      <c r="Q44" s="106"/>
      <c r="R44" s="64"/>
      <c r="S44" s="65"/>
      <c r="T44" s="66"/>
      <c r="U44" s="77">
        <f t="shared" si="4"/>
        <v>120.10559999999995</v>
      </c>
      <c r="W44" s="89"/>
    </row>
    <row r="45" spans="1:23" ht="12.75">
      <c r="A45" s="2">
        <v>43</v>
      </c>
      <c r="B45" s="81"/>
      <c r="C45" s="43">
        <f>'2011年12月'!U45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/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84">
        <v>9631</v>
      </c>
      <c r="C46" s="43">
        <f>'2011年12月'!U46</f>
        <v>-30.023200000000003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/>
      <c r="P46" s="96"/>
      <c r="Q46" s="105"/>
      <c r="R46" s="46"/>
      <c r="S46" s="44"/>
      <c r="T46" s="47"/>
      <c r="U46" s="77">
        <f t="shared" si="4"/>
        <v>-30.023200000000003</v>
      </c>
      <c r="W46" s="89"/>
    </row>
    <row r="47" spans="1:23" ht="12.75">
      <c r="A47" s="2">
        <v>45</v>
      </c>
      <c r="B47" s="81" t="s">
        <v>352</v>
      </c>
      <c r="C47" s="43">
        <f>'2011年12月'!U47</f>
        <v>-65.56910000000002</v>
      </c>
      <c r="D47" s="48">
        <v>1</v>
      </c>
      <c r="E47" s="75"/>
      <c r="F47" s="46">
        <f t="shared" si="1"/>
        <v>-9.3548</v>
      </c>
      <c r="G47" s="48">
        <v>1</v>
      </c>
      <c r="H47" s="75">
        <v>200</v>
      </c>
      <c r="I47" s="46">
        <f t="shared" si="2"/>
        <v>-15.7895</v>
      </c>
      <c r="J47" s="48"/>
      <c r="K47" s="75"/>
      <c r="L47" s="46">
        <f t="shared" si="3"/>
        <v>0</v>
      </c>
      <c r="M47" s="48"/>
      <c r="N47" s="75"/>
      <c r="O47" s="46"/>
      <c r="P47" s="98"/>
      <c r="Q47" s="107"/>
      <c r="R47" s="46"/>
      <c r="S47" s="48"/>
      <c r="T47" s="47"/>
      <c r="U47" s="77">
        <f t="shared" si="4"/>
        <v>109.28659999999998</v>
      </c>
      <c r="W47" s="89"/>
    </row>
    <row r="48" spans="1:23" ht="12.75">
      <c r="A48" s="2">
        <v>46</v>
      </c>
      <c r="B48" s="78"/>
      <c r="C48" s="49">
        <f>'2011年12月'!U48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/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/>
      <c r="C49" s="49">
        <f>'2011年12月'!U49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/>
      <c r="P49" s="90"/>
      <c r="Q49" s="108"/>
      <c r="R49" s="52"/>
      <c r="S49" s="54"/>
      <c r="T49" s="53"/>
      <c r="U49" s="77">
        <f t="shared" si="4"/>
        <v>0</v>
      </c>
      <c r="W49" s="89"/>
    </row>
    <row r="50" spans="1:23" ht="12.75">
      <c r="A50" s="2">
        <v>48</v>
      </c>
      <c r="B50" s="78"/>
      <c r="C50" s="49">
        <f>'2011年12月'!U50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/>
      <c r="P50" s="90"/>
      <c r="Q50" s="108"/>
      <c r="R50" s="52"/>
      <c r="S50" s="50"/>
      <c r="T50" s="53"/>
      <c r="U50" s="77">
        <f t="shared" si="4"/>
        <v>0</v>
      </c>
      <c r="W50" s="89"/>
    </row>
    <row r="51" spans="1:23" ht="12.75">
      <c r="A51" s="2">
        <v>49</v>
      </c>
      <c r="B51" s="79"/>
      <c r="C51" s="55">
        <f>'2011年12月'!U51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/>
      <c r="P51" s="56"/>
      <c r="Q51" s="73"/>
      <c r="R51" s="58"/>
      <c r="S51" s="60"/>
      <c r="T51" s="59"/>
      <c r="U51" s="77">
        <f t="shared" si="4"/>
        <v>0</v>
      </c>
      <c r="W51" s="89"/>
    </row>
    <row r="52" spans="1:23" ht="12.75">
      <c r="A52" s="2">
        <v>50</v>
      </c>
      <c r="B52" s="79" t="s">
        <v>353</v>
      </c>
      <c r="C52" s="55">
        <f>'2011年12月'!U52</f>
        <v>86.08859999999999</v>
      </c>
      <c r="D52" s="60">
        <v>1</v>
      </c>
      <c r="E52" s="73"/>
      <c r="F52" s="58">
        <f t="shared" si="1"/>
        <v>-9.3548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/>
      <c r="P52" s="60"/>
      <c r="Q52" s="73"/>
      <c r="R52" s="58"/>
      <c r="S52" s="56"/>
      <c r="T52" s="59"/>
      <c r="U52" s="77">
        <f t="shared" si="4"/>
        <v>76.73379999999999</v>
      </c>
      <c r="W52" s="89"/>
    </row>
    <row r="53" spans="1:23" ht="12.75">
      <c r="A53" s="2">
        <v>51</v>
      </c>
      <c r="B53" s="87"/>
      <c r="C53" s="55">
        <f>'2011年12月'!U53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/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31</v>
      </c>
      <c r="F55" s="1">
        <f>E66/D55</f>
        <v>9.35483870967742</v>
      </c>
      <c r="G55" s="1">
        <f>SUM(G3:G53)</f>
        <v>19</v>
      </c>
      <c r="I55" s="1">
        <f>H66/G55</f>
        <v>15.789473684210526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354</v>
      </c>
      <c r="F56" s="34" t="s">
        <v>355</v>
      </c>
      <c r="G56" s="33" t="s">
        <v>354</v>
      </c>
      <c r="I56" s="34" t="s">
        <v>355</v>
      </c>
      <c r="J56" s="33" t="s">
        <v>354</v>
      </c>
      <c r="L56" s="34" t="s">
        <v>355</v>
      </c>
      <c r="M56" s="33" t="s">
        <v>354</v>
      </c>
      <c r="O56" s="34" t="s">
        <v>355</v>
      </c>
      <c r="P56" s="33" t="s">
        <v>354</v>
      </c>
      <c r="R56" s="34" t="s">
        <v>355</v>
      </c>
    </row>
    <row r="57" spans="5:21" ht="12.75">
      <c r="E57" s="28" t="s">
        <v>356</v>
      </c>
      <c r="F57" s="1">
        <f>SUM(F3:F53)</f>
        <v>-289.9988000000002</v>
      </c>
      <c r="H57" s="28" t="s">
        <v>356</v>
      </c>
      <c r="I57" s="1">
        <f>SUM(I3:I53)</f>
        <v>-300.0005</v>
      </c>
      <c r="K57" s="28" t="s">
        <v>356</v>
      </c>
      <c r="L57" s="1">
        <f>SUM(L3:L53)</f>
        <v>0</v>
      </c>
      <c r="N57" s="28" t="s">
        <v>356</v>
      </c>
      <c r="O57" s="1">
        <f>SUM(O3:O53)</f>
        <v>0</v>
      </c>
      <c r="Q57" s="28" t="s">
        <v>356</v>
      </c>
      <c r="R57" s="1">
        <f>SUM(R3:R53)</f>
        <v>0</v>
      </c>
      <c r="U57" s="19"/>
    </row>
    <row r="58" spans="2:21" ht="12.75">
      <c r="B58" s="29" t="s">
        <v>357</v>
      </c>
      <c r="C58" s="27">
        <f>SUM(C3:C53)</f>
        <v>3000.0028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3100.0034999999993</v>
      </c>
      <c r="W59" s="89">
        <f>U59</f>
        <v>3100.0034999999993</v>
      </c>
    </row>
    <row r="60" spans="4:20" ht="12.75" customHeight="1">
      <c r="D60" s="147" t="s">
        <v>363</v>
      </c>
      <c r="E60" s="148"/>
      <c r="F60" s="149"/>
      <c r="G60" s="147" t="s">
        <v>364</v>
      </c>
      <c r="H60" s="148"/>
      <c r="I60" s="149"/>
      <c r="J60" s="147"/>
      <c r="K60" s="148"/>
      <c r="L60" s="149"/>
      <c r="M60" s="147"/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358</v>
      </c>
      <c r="E66" s="36">
        <f>E68-E84-E93</f>
        <v>290</v>
      </c>
      <c r="F66" s="37"/>
      <c r="G66" s="38" t="s">
        <v>358</v>
      </c>
      <c r="H66" s="36">
        <f>H68-H84-H93</f>
        <v>300</v>
      </c>
      <c r="I66" s="37"/>
      <c r="J66" s="38"/>
      <c r="K66" s="36"/>
      <c r="L66" s="37"/>
      <c r="M66" s="38"/>
      <c r="N66" s="36"/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359</v>
      </c>
      <c r="E68" s="39">
        <v>300</v>
      </c>
      <c r="F68" s="40"/>
      <c r="G68" s="85" t="s">
        <v>359</v>
      </c>
      <c r="H68" s="39">
        <v>300</v>
      </c>
      <c r="I68" s="40"/>
      <c r="J68" s="85"/>
      <c r="K68" s="39"/>
      <c r="L68" s="40"/>
      <c r="M68" s="85"/>
      <c r="N68" s="39"/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367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 t="s">
        <v>365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360</v>
      </c>
      <c r="E80" s="142"/>
      <c r="G80" s="141" t="s">
        <v>360</v>
      </c>
      <c r="H80" s="142"/>
      <c r="J80" s="141" t="s">
        <v>360</v>
      </c>
      <c r="K80" s="142"/>
      <c r="M80" s="141" t="s">
        <v>360</v>
      </c>
      <c r="N80" s="142"/>
      <c r="P80" s="141" t="s">
        <v>360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361</v>
      </c>
      <c r="E87" s="142"/>
      <c r="G87" s="141" t="s">
        <v>361</v>
      </c>
      <c r="H87" s="142"/>
      <c r="J87" s="141" t="s">
        <v>361</v>
      </c>
      <c r="K87" s="142"/>
      <c r="M87" s="141" t="s">
        <v>361</v>
      </c>
      <c r="N87" s="142"/>
      <c r="P87" s="141" t="s">
        <v>361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M89" s="109"/>
      <c r="P89" s="109"/>
    </row>
    <row r="93" ht="12.75">
      <c r="G93" s="28"/>
    </row>
    <row r="95" spans="4:18" ht="12.75" customHeight="1">
      <c r="D95" s="144" t="s">
        <v>362</v>
      </c>
      <c r="E95" s="144"/>
      <c r="F95" s="144"/>
      <c r="G95" s="144" t="s">
        <v>362</v>
      </c>
      <c r="H95" s="144"/>
      <c r="I95" s="144"/>
      <c r="J95" s="144" t="s">
        <v>362</v>
      </c>
      <c r="K95" s="144"/>
      <c r="L95" s="144"/>
      <c r="M95" s="144" t="s">
        <v>362</v>
      </c>
      <c r="N95" s="144"/>
      <c r="O95" s="144"/>
      <c r="P95" s="144" t="s">
        <v>362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358</v>
      </c>
      <c r="E102" s="142"/>
      <c r="F102" s="142"/>
      <c r="G102" s="143" t="s">
        <v>358</v>
      </c>
      <c r="H102" s="142"/>
      <c r="I102" s="142"/>
      <c r="J102" s="143" t="s">
        <v>358</v>
      </c>
      <c r="K102" s="142"/>
      <c r="L102" s="142"/>
      <c r="M102" s="143" t="s">
        <v>358</v>
      </c>
      <c r="N102" s="142"/>
      <c r="O102" s="142"/>
      <c r="P102" s="143" t="s">
        <v>358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40944</v>
      </c>
      <c r="E1" s="155"/>
      <c r="F1" s="156"/>
      <c r="G1" s="16"/>
      <c r="H1" s="24">
        <v>40951</v>
      </c>
      <c r="I1" s="17"/>
      <c r="J1" s="30"/>
      <c r="K1" s="24">
        <v>40958</v>
      </c>
      <c r="L1" s="31"/>
      <c r="M1" s="16"/>
      <c r="N1" s="24">
        <v>40965</v>
      </c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'2012年1月'!U3</f>
        <v>109.2917</v>
      </c>
      <c r="D3" s="50"/>
      <c r="E3" s="51"/>
      <c r="F3" s="52">
        <f>-17.353*D3</f>
        <v>0</v>
      </c>
      <c r="G3" s="50"/>
      <c r="H3" s="51"/>
      <c r="I3" s="52">
        <f aca="true" t="shared" si="0" ref="I3:I15">-15*G3</f>
        <v>0</v>
      </c>
      <c r="J3" s="50"/>
      <c r="K3" s="51"/>
      <c r="L3" s="52">
        <f>-L55*J3</f>
        <v>0</v>
      </c>
      <c r="M3" s="50"/>
      <c r="N3" s="51"/>
      <c r="O3" s="52">
        <f>-O55*M3</f>
        <v>0</v>
      </c>
      <c r="P3" s="90"/>
      <c r="Q3" s="99"/>
      <c r="R3" s="52">
        <f>-17.353*P3</f>
        <v>0</v>
      </c>
      <c r="S3" s="50"/>
      <c r="T3" s="53"/>
      <c r="U3" s="77">
        <f aca="true" t="shared" si="1" ref="U3:U53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'2012年1月'!U4</f>
        <v>26.5714</v>
      </c>
      <c r="D4" s="50">
        <v>1</v>
      </c>
      <c r="E4" s="51"/>
      <c r="F4" s="52">
        <f aca="true" t="shared" si="2" ref="F4:F53">-17.353*D4</f>
        <v>-17.353</v>
      </c>
      <c r="G4" s="50">
        <v>1</v>
      </c>
      <c r="H4" s="51"/>
      <c r="I4" s="52">
        <f t="shared" si="0"/>
        <v>-15</v>
      </c>
      <c r="J4" s="50">
        <v>1</v>
      </c>
      <c r="K4" s="51">
        <v>100</v>
      </c>
      <c r="L4" s="52">
        <f>-L55*J4</f>
        <v>-17.647058823529413</v>
      </c>
      <c r="M4" s="50">
        <v>1</v>
      </c>
      <c r="N4" s="51"/>
      <c r="O4" s="52">
        <f>-O55*M4</f>
        <v>-15.789473684210526</v>
      </c>
      <c r="P4" s="90"/>
      <c r="Q4" s="99"/>
      <c r="R4" s="52">
        <f aca="true" t="shared" si="3" ref="R4:R53">-17.353*P4</f>
        <v>0</v>
      </c>
      <c r="S4" s="54"/>
      <c r="T4" s="53"/>
      <c r="U4" s="77">
        <f t="shared" si="1"/>
        <v>60.781867492260055</v>
      </c>
      <c r="W4" s="89"/>
    </row>
    <row r="5" spans="1:23" ht="12.75">
      <c r="A5" s="2">
        <v>3</v>
      </c>
      <c r="B5" s="78" t="s">
        <v>182</v>
      </c>
      <c r="C5" s="49">
        <f>'2012年1月'!U5</f>
        <v>25.4788</v>
      </c>
      <c r="D5" s="50"/>
      <c r="E5" s="51"/>
      <c r="F5" s="52">
        <f t="shared" si="2"/>
        <v>0</v>
      </c>
      <c r="G5" s="50"/>
      <c r="H5" s="51"/>
      <c r="I5" s="52">
        <f t="shared" si="0"/>
        <v>0</v>
      </c>
      <c r="J5" s="50"/>
      <c r="K5" s="51"/>
      <c r="L5" s="52">
        <f>-L55*J5</f>
        <v>0</v>
      </c>
      <c r="M5" s="50"/>
      <c r="N5" s="51"/>
      <c r="O5" s="52">
        <f>-O55*M5</f>
        <v>0</v>
      </c>
      <c r="P5" s="90"/>
      <c r="Q5" s="99"/>
      <c r="R5" s="52">
        <f t="shared" si="3"/>
        <v>0</v>
      </c>
      <c r="S5" s="50"/>
      <c r="T5" s="53"/>
      <c r="U5" s="77">
        <f t="shared" si="1"/>
        <v>25.4788</v>
      </c>
      <c r="W5" s="89"/>
    </row>
    <row r="6" spans="1:23" ht="12.75">
      <c r="A6" s="2">
        <v>4</v>
      </c>
      <c r="B6" s="79" t="s">
        <v>12</v>
      </c>
      <c r="C6" s="58">
        <f>'2012年1月'!U6</f>
        <v>68.40679999999999</v>
      </c>
      <c r="D6" s="60"/>
      <c r="E6" s="57"/>
      <c r="F6" s="58">
        <f t="shared" si="2"/>
        <v>0</v>
      </c>
      <c r="G6" s="60"/>
      <c r="H6" s="57"/>
      <c r="I6" s="58">
        <f t="shared" si="0"/>
        <v>0</v>
      </c>
      <c r="J6" s="60"/>
      <c r="K6" s="57"/>
      <c r="L6" s="58">
        <f>-L55*J6</f>
        <v>0</v>
      </c>
      <c r="M6" s="60"/>
      <c r="N6" s="57"/>
      <c r="O6" s="58">
        <f>-O55*M6</f>
        <v>0</v>
      </c>
      <c r="P6" s="91"/>
      <c r="Q6" s="100"/>
      <c r="R6" s="58">
        <f t="shared" si="3"/>
        <v>0</v>
      </c>
      <c r="S6" s="60"/>
      <c r="T6" s="59"/>
      <c r="U6" s="77">
        <f t="shared" si="1"/>
        <v>68.40679999999999</v>
      </c>
      <c r="W6" s="89"/>
    </row>
    <row r="7" spans="1:23" ht="12.75">
      <c r="A7" s="2">
        <v>5</v>
      </c>
      <c r="B7" s="79" t="s">
        <v>45</v>
      </c>
      <c r="C7" s="58">
        <f>'2012年1月'!U7</f>
        <v>141.8242</v>
      </c>
      <c r="D7" s="56">
        <v>1</v>
      </c>
      <c r="E7" s="57"/>
      <c r="F7" s="58">
        <f t="shared" si="2"/>
        <v>-17.353</v>
      </c>
      <c r="G7" s="56">
        <v>1</v>
      </c>
      <c r="H7" s="57"/>
      <c r="I7" s="58">
        <f t="shared" si="0"/>
        <v>-15</v>
      </c>
      <c r="J7" s="56"/>
      <c r="K7" s="57"/>
      <c r="L7" s="58">
        <f>-L55*J7</f>
        <v>0</v>
      </c>
      <c r="M7" s="56">
        <v>1</v>
      </c>
      <c r="N7" s="57"/>
      <c r="O7" s="58">
        <f>-O55*M7</f>
        <v>-15.789473684210526</v>
      </c>
      <c r="P7" s="92"/>
      <c r="Q7" s="101"/>
      <c r="R7" s="58">
        <f t="shared" si="3"/>
        <v>0</v>
      </c>
      <c r="S7" s="56"/>
      <c r="T7" s="59"/>
      <c r="U7" s="77">
        <f t="shared" si="1"/>
        <v>93.68172631578946</v>
      </c>
      <c r="W7" s="89"/>
    </row>
    <row r="8" spans="1:23" ht="12.75">
      <c r="A8" s="2">
        <v>6</v>
      </c>
      <c r="B8" s="79" t="s">
        <v>183</v>
      </c>
      <c r="C8" s="58">
        <f>'2012年1月'!U8</f>
        <v>20.731100000000033</v>
      </c>
      <c r="D8" s="56"/>
      <c r="E8" s="57"/>
      <c r="F8" s="58">
        <f t="shared" si="2"/>
        <v>0</v>
      </c>
      <c r="G8" s="56">
        <v>1</v>
      </c>
      <c r="H8" s="57"/>
      <c r="I8" s="58">
        <f t="shared" si="0"/>
        <v>-15</v>
      </c>
      <c r="J8" s="56"/>
      <c r="K8" s="57"/>
      <c r="L8" s="58">
        <f>-L55*J8</f>
        <v>0</v>
      </c>
      <c r="M8" s="56">
        <v>1</v>
      </c>
      <c r="N8" s="57"/>
      <c r="O8" s="58">
        <f>-O55*M8</f>
        <v>-15.789473684210526</v>
      </c>
      <c r="P8" s="92"/>
      <c r="Q8" s="101"/>
      <c r="R8" s="58">
        <f t="shared" si="3"/>
        <v>0</v>
      </c>
      <c r="S8" s="60"/>
      <c r="T8" s="59"/>
      <c r="U8" s="77">
        <f t="shared" si="1"/>
        <v>-10.058373684210492</v>
      </c>
      <c r="W8" s="89"/>
    </row>
    <row r="9" spans="1:23" ht="12.75">
      <c r="A9" s="2">
        <v>7</v>
      </c>
      <c r="B9" s="82" t="s">
        <v>366</v>
      </c>
      <c r="C9" s="70">
        <f>'2012年1月'!U9</f>
        <v>84.2105</v>
      </c>
      <c r="D9" s="68"/>
      <c r="E9" s="69"/>
      <c r="F9" s="70">
        <f t="shared" si="2"/>
        <v>0</v>
      </c>
      <c r="G9" s="68"/>
      <c r="H9" s="69"/>
      <c r="I9" s="70">
        <f t="shared" si="0"/>
        <v>0</v>
      </c>
      <c r="J9" s="68"/>
      <c r="K9" s="69"/>
      <c r="L9" s="70">
        <f>-L55*J9</f>
        <v>0</v>
      </c>
      <c r="M9" s="68">
        <v>1</v>
      </c>
      <c r="N9" s="69"/>
      <c r="O9" s="70">
        <f>-O55*M9</f>
        <v>-15.789473684210526</v>
      </c>
      <c r="P9" s="93"/>
      <c r="Q9" s="102"/>
      <c r="R9" s="70">
        <f t="shared" si="3"/>
        <v>0</v>
      </c>
      <c r="S9" s="68"/>
      <c r="T9" s="71"/>
      <c r="U9" s="77">
        <f t="shared" si="1"/>
        <v>68.42102631578948</v>
      </c>
      <c r="W9" s="89"/>
    </row>
    <row r="10" spans="1:23" ht="12.75">
      <c r="A10" s="2">
        <v>8</v>
      </c>
      <c r="B10" s="82" t="s">
        <v>47</v>
      </c>
      <c r="C10" s="70">
        <f>'2012年1月'!U10</f>
        <v>115.5855</v>
      </c>
      <c r="D10" s="72">
        <v>1</v>
      </c>
      <c r="E10" s="69"/>
      <c r="F10" s="70">
        <f t="shared" si="2"/>
        <v>-17.353</v>
      </c>
      <c r="G10" s="72">
        <v>1</v>
      </c>
      <c r="H10" s="69"/>
      <c r="I10" s="70">
        <f t="shared" si="0"/>
        <v>-15</v>
      </c>
      <c r="J10" s="72">
        <v>1</v>
      </c>
      <c r="K10" s="69"/>
      <c r="L10" s="70">
        <f>-L55*J10</f>
        <v>-17.647058823529413</v>
      </c>
      <c r="M10" s="72">
        <v>1</v>
      </c>
      <c r="N10" s="69"/>
      <c r="O10" s="70">
        <f>-O55*M10</f>
        <v>-15.789473684210526</v>
      </c>
      <c r="P10" s="94"/>
      <c r="Q10" s="103"/>
      <c r="R10" s="70">
        <f t="shared" si="3"/>
        <v>0</v>
      </c>
      <c r="S10" s="72"/>
      <c r="T10" s="71"/>
      <c r="U10" s="77">
        <f t="shared" si="1"/>
        <v>49.79596749226004</v>
      </c>
      <c r="W10" s="89"/>
    </row>
    <row r="11" spans="1:23" ht="12.75">
      <c r="A11" s="2">
        <v>9</v>
      </c>
      <c r="B11" s="82" t="s">
        <v>48</v>
      </c>
      <c r="C11" s="70">
        <f>'2012年1月'!U11</f>
        <v>-43.78</v>
      </c>
      <c r="D11" s="68"/>
      <c r="E11" s="69"/>
      <c r="F11" s="70">
        <f t="shared" si="2"/>
        <v>0</v>
      </c>
      <c r="G11" s="68"/>
      <c r="H11" s="69"/>
      <c r="I11" s="70">
        <f t="shared" si="0"/>
        <v>0</v>
      </c>
      <c r="J11" s="68"/>
      <c r="K11" s="69"/>
      <c r="L11" s="70">
        <f>-L55*J11</f>
        <v>0</v>
      </c>
      <c r="M11" s="68"/>
      <c r="N11" s="69"/>
      <c r="O11" s="70">
        <f>-O55*M11</f>
        <v>0</v>
      </c>
      <c r="P11" s="93"/>
      <c r="Q11" s="102"/>
      <c r="R11" s="70">
        <f t="shared" si="3"/>
        <v>0</v>
      </c>
      <c r="S11" s="68"/>
      <c r="T11" s="71"/>
      <c r="U11" s="77">
        <f t="shared" si="1"/>
        <v>-43.78</v>
      </c>
      <c r="W11" s="89"/>
    </row>
    <row r="12" spans="1:23" ht="12.75">
      <c r="A12" s="2">
        <v>10</v>
      </c>
      <c r="B12" s="80" t="s">
        <v>49</v>
      </c>
      <c r="C12" s="64">
        <f>'2012年1月'!U12</f>
        <v>205.4141</v>
      </c>
      <c r="D12" s="62">
        <v>1</v>
      </c>
      <c r="E12" s="63"/>
      <c r="F12" s="64">
        <f>-17.353*D12-5</f>
        <v>-22.353</v>
      </c>
      <c r="G12" s="62"/>
      <c r="H12" s="63"/>
      <c r="I12" s="64">
        <f t="shared" si="0"/>
        <v>0</v>
      </c>
      <c r="J12" s="62">
        <v>1</v>
      </c>
      <c r="K12" s="63"/>
      <c r="L12" s="64">
        <f>-L55*J12</f>
        <v>-17.647058823529413</v>
      </c>
      <c r="M12" s="62">
        <v>1</v>
      </c>
      <c r="N12" s="63"/>
      <c r="O12" s="64">
        <f>-O55*M12</f>
        <v>-15.789473684210526</v>
      </c>
      <c r="P12" s="95"/>
      <c r="Q12" s="104"/>
      <c r="R12" s="64">
        <v>0</v>
      </c>
      <c r="S12" s="62"/>
      <c r="T12" s="66"/>
      <c r="U12" s="77">
        <f t="shared" si="1"/>
        <v>149.62456749226004</v>
      </c>
      <c r="W12" s="89"/>
    </row>
    <row r="13" spans="1:23" ht="12.75">
      <c r="A13" s="2">
        <v>11</v>
      </c>
      <c r="B13" s="80" t="s">
        <v>373</v>
      </c>
      <c r="C13" s="64">
        <v>0</v>
      </c>
      <c r="D13" s="62">
        <v>1</v>
      </c>
      <c r="E13" s="63">
        <v>200</v>
      </c>
      <c r="F13" s="64">
        <f t="shared" si="2"/>
        <v>-17.353</v>
      </c>
      <c r="G13" s="62">
        <v>1</v>
      </c>
      <c r="H13" s="63"/>
      <c r="I13" s="64">
        <f t="shared" si="0"/>
        <v>-15</v>
      </c>
      <c r="J13" s="62">
        <v>1</v>
      </c>
      <c r="K13" s="63"/>
      <c r="L13" s="64">
        <f>-L55*J13</f>
        <v>-17.647058823529413</v>
      </c>
      <c r="M13" s="62"/>
      <c r="N13" s="116"/>
      <c r="O13" s="64">
        <f>-O55*M13</f>
        <v>0</v>
      </c>
      <c r="P13" s="95"/>
      <c r="Q13" s="104"/>
      <c r="R13" s="64">
        <f t="shared" si="3"/>
        <v>0</v>
      </c>
      <c r="S13" s="65"/>
      <c r="T13" s="66"/>
      <c r="U13" s="77">
        <f t="shared" si="1"/>
        <v>149.99994117647057</v>
      </c>
      <c r="W13" s="89"/>
    </row>
    <row r="14" spans="1:23" ht="12.75">
      <c r="A14" s="2">
        <v>12</v>
      </c>
      <c r="B14" s="80" t="s">
        <v>14</v>
      </c>
      <c r="C14" s="64">
        <f>'2012年1月'!U14</f>
        <v>49.376500000000014</v>
      </c>
      <c r="D14" s="62"/>
      <c r="E14" s="63"/>
      <c r="F14" s="64">
        <f t="shared" si="2"/>
        <v>0</v>
      </c>
      <c r="G14" s="62"/>
      <c r="H14" s="63"/>
      <c r="I14" s="64">
        <f t="shared" si="0"/>
        <v>0</v>
      </c>
      <c r="J14" s="62"/>
      <c r="K14" s="63"/>
      <c r="L14" s="64">
        <f>-L55*J14</f>
        <v>0</v>
      </c>
      <c r="M14" s="62"/>
      <c r="N14" s="63"/>
      <c r="O14" s="64">
        <f>-O55*M14</f>
        <v>0</v>
      </c>
      <c r="P14" s="95"/>
      <c r="Q14" s="104"/>
      <c r="R14" s="64">
        <f t="shared" si="3"/>
        <v>0</v>
      </c>
      <c r="S14" s="62"/>
      <c r="T14" s="66"/>
      <c r="U14" s="77">
        <f t="shared" si="1"/>
        <v>49.376500000000014</v>
      </c>
      <c r="W14" s="89"/>
    </row>
    <row r="15" spans="1:23" ht="12.75">
      <c r="A15" s="2">
        <v>13</v>
      </c>
      <c r="B15" s="81" t="s">
        <v>15</v>
      </c>
      <c r="C15" s="46">
        <f>'2012年1月'!U15</f>
        <v>72.20109999999997</v>
      </c>
      <c r="D15" s="44">
        <v>1</v>
      </c>
      <c r="E15" s="45"/>
      <c r="F15" s="46">
        <f t="shared" si="2"/>
        <v>-17.353</v>
      </c>
      <c r="G15" s="44"/>
      <c r="H15" s="45"/>
      <c r="I15" s="46">
        <f t="shared" si="0"/>
        <v>0</v>
      </c>
      <c r="J15" s="44"/>
      <c r="K15" s="45"/>
      <c r="L15" s="46">
        <f>-L55*J15</f>
        <v>0</v>
      </c>
      <c r="M15" s="44"/>
      <c r="N15" s="45"/>
      <c r="O15" s="46">
        <f>-O55*M15</f>
        <v>0</v>
      </c>
      <c r="P15" s="96"/>
      <c r="Q15" s="105"/>
      <c r="R15" s="46">
        <f t="shared" si="3"/>
        <v>0</v>
      </c>
      <c r="S15" s="48"/>
      <c r="T15" s="47"/>
      <c r="U15" s="77">
        <f t="shared" si="1"/>
        <v>54.84809999999997</v>
      </c>
      <c r="W15" s="89"/>
    </row>
    <row r="16" spans="1:23" ht="12.75">
      <c r="A16" s="2">
        <v>14</v>
      </c>
      <c r="B16" s="81" t="s">
        <v>50</v>
      </c>
      <c r="C16" s="46">
        <f>'2012年1月'!U16</f>
        <v>140.43609999999998</v>
      </c>
      <c r="D16" s="44">
        <v>1</v>
      </c>
      <c r="E16" s="45"/>
      <c r="F16" s="46">
        <f t="shared" si="2"/>
        <v>-17.353</v>
      </c>
      <c r="G16" s="44">
        <v>1</v>
      </c>
      <c r="H16" s="45"/>
      <c r="I16" s="46">
        <f aca="true" t="shared" si="4" ref="I16:I53">-15*G16</f>
        <v>-15</v>
      </c>
      <c r="J16" s="44">
        <v>1</v>
      </c>
      <c r="K16" s="45"/>
      <c r="L16" s="46">
        <f>-L55*J16</f>
        <v>-17.647058823529413</v>
      </c>
      <c r="M16" s="44">
        <v>1</v>
      </c>
      <c r="N16" s="45"/>
      <c r="O16" s="46">
        <f>-O55*M16</f>
        <v>-15.789473684210526</v>
      </c>
      <c r="P16" s="96"/>
      <c r="Q16" s="105"/>
      <c r="R16" s="46">
        <f t="shared" si="3"/>
        <v>0</v>
      </c>
      <c r="S16" s="44"/>
      <c r="T16" s="47"/>
      <c r="U16" s="77">
        <f t="shared" si="1"/>
        <v>74.64656749226003</v>
      </c>
      <c r="W16" s="89"/>
    </row>
    <row r="17" spans="1:23" ht="12.75">
      <c r="A17" s="2">
        <v>15</v>
      </c>
      <c r="B17" s="81" t="s">
        <v>184</v>
      </c>
      <c r="C17" s="46">
        <f>'2012年1月'!U17</f>
        <v>22.374900000000004</v>
      </c>
      <c r="D17" s="44"/>
      <c r="E17" s="45"/>
      <c r="F17" s="46">
        <f t="shared" si="2"/>
        <v>0</v>
      </c>
      <c r="G17" s="44"/>
      <c r="H17" s="45"/>
      <c r="I17" s="46">
        <f t="shared" si="4"/>
        <v>0</v>
      </c>
      <c r="J17" s="44"/>
      <c r="K17" s="45"/>
      <c r="L17" s="46">
        <f>-L55*J17</f>
        <v>0</v>
      </c>
      <c r="M17" s="44"/>
      <c r="N17" s="45"/>
      <c r="O17" s="46">
        <f>-O55*M17</f>
        <v>0</v>
      </c>
      <c r="P17" s="96"/>
      <c r="Q17" s="105"/>
      <c r="R17" s="46">
        <f t="shared" si="3"/>
        <v>0</v>
      </c>
      <c r="S17" s="48"/>
      <c r="T17" s="47"/>
      <c r="U17" s="77">
        <f t="shared" si="1"/>
        <v>22.374900000000004</v>
      </c>
      <c r="W17" s="89"/>
    </row>
    <row r="18" spans="1:23" ht="12.75">
      <c r="A18" s="2">
        <v>16</v>
      </c>
      <c r="B18" s="78" t="s">
        <v>51</v>
      </c>
      <c r="C18" s="49">
        <f>'2012年1月'!U18</f>
        <v>36.78829999999998</v>
      </c>
      <c r="D18" s="50"/>
      <c r="E18" s="51"/>
      <c r="F18" s="52">
        <f t="shared" si="2"/>
        <v>0</v>
      </c>
      <c r="G18" s="50">
        <v>1</v>
      </c>
      <c r="H18" s="51"/>
      <c r="I18" s="52">
        <f t="shared" si="4"/>
        <v>-15</v>
      </c>
      <c r="J18" s="50"/>
      <c r="K18" s="51"/>
      <c r="L18" s="52">
        <f>-L55*J18</f>
        <v>0</v>
      </c>
      <c r="M18" s="50">
        <v>1</v>
      </c>
      <c r="N18" s="51"/>
      <c r="O18" s="52">
        <f>-O55*M18</f>
        <v>-15.789473684210526</v>
      </c>
      <c r="P18" s="90"/>
      <c r="Q18" s="99"/>
      <c r="R18" s="52">
        <f t="shared" si="3"/>
        <v>0</v>
      </c>
      <c r="S18" s="50"/>
      <c r="T18" s="53"/>
      <c r="U18" s="77">
        <f t="shared" si="1"/>
        <v>5.998826315789453</v>
      </c>
      <c r="W18" s="89"/>
    </row>
    <row r="19" spans="1:23" ht="12.75">
      <c r="A19" s="2">
        <v>17</v>
      </c>
      <c r="B19" s="78" t="s">
        <v>67</v>
      </c>
      <c r="C19" s="49">
        <f>'2012年1月'!U19</f>
        <v>48.72779999999999</v>
      </c>
      <c r="D19" s="50">
        <v>1</v>
      </c>
      <c r="E19" s="51"/>
      <c r="F19" s="52">
        <f t="shared" si="2"/>
        <v>-17.353</v>
      </c>
      <c r="G19" s="50">
        <v>1</v>
      </c>
      <c r="H19" s="51"/>
      <c r="I19" s="52">
        <f t="shared" si="4"/>
        <v>-15</v>
      </c>
      <c r="J19" s="50">
        <v>1</v>
      </c>
      <c r="K19" s="51"/>
      <c r="L19" s="52">
        <f>-L55*J19</f>
        <v>-17.647058823529413</v>
      </c>
      <c r="M19" s="50">
        <v>1</v>
      </c>
      <c r="N19" s="51"/>
      <c r="O19" s="52">
        <f>-O55*M19</f>
        <v>-15.789473684210526</v>
      </c>
      <c r="P19" s="90"/>
      <c r="Q19" s="99"/>
      <c r="R19" s="52">
        <f t="shared" si="3"/>
        <v>0</v>
      </c>
      <c r="S19" s="54"/>
      <c r="T19" s="53"/>
      <c r="U19" s="77">
        <f t="shared" si="1"/>
        <v>-17.061732507739954</v>
      </c>
      <c r="W19" s="89"/>
    </row>
    <row r="20" spans="1:23" ht="12.75">
      <c r="A20" s="2">
        <v>18</v>
      </c>
      <c r="B20" s="78" t="s">
        <v>16</v>
      </c>
      <c r="C20" s="49">
        <f>'2012年1月'!U20</f>
        <v>12.128600000000004</v>
      </c>
      <c r="D20" s="50"/>
      <c r="E20" s="51"/>
      <c r="F20" s="52">
        <f t="shared" si="2"/>
        <v>0</v>
      </c>
      <c r="G20" s="50"/>
      <c r="H20" s="51"/>
      <c r="I20" s="52">
        <f t="shared" si="4"/>
        <v>0</v>
      </c>
      <c r="J20" s="50"/>
      <c r="K20" s="51"/>
      <c r="L20" s="52">
        <f>-L55*J20</f>
        <v>0</v>
      </c>
      <c r="M20" s="50"/>
      <c r="N20" s="51"/>
      <c r="O20" s="52">
        <f>-O55*M20</f>
        <v>0</v>
      </c>
      <c r="P20" s="90"/>
      <c r="Q20" s="99"/>
      <c r="R20" s="52">
        <f t="shared" si="3"/>
        <v>0</v>
      </c>
      <c r="S20" s="50"/>
      <c r="T20" s="53"/>
      <c r="U20" s="77">
        <f t="shared" si="1"/>
        <v>12.128600000000004</v>
      </c>
      <c r="W20" s="89"/>
    </row>
    <row r="21" spans="1:23" ht="12.75">
      <c r="A21" s="2">
        <v>19</v>
      </c>
      <c r="B21" s="79" t="s">
        <v>52</v>
      </c>
      <c r="C21" s="58">
        <f>'2012年1月'!U21</f>
        <v>62.93649999999998</v>
      </c>
      <c r="D21" s="56"/>
      <c r="E21" s="57"/>
      <c r="F21" s="58">
        <f t="shared" si="2"/>
        <v>0</v>
      </c>
      <c r="G21" s="56">
        <v>1</v>
      </c>
      <c r="H21" s="57"/>
      <c r="I21" s="58">
        <f t="shared" si="4"/>
        <v>-15</v>
      </c>
      <c r="J21" s="56">
        <v>1</v>
      </c>
      <c r="K21" s="57"/>
      <c r="L21" s="58">
        <f>-L55*J21</f>
        <v>-17.647058823529413</v>
      </c>
      <c r="M21" s="56"/>
      <c r="N21" s="57"/>
      <c r="O21" s="58">
        <f>-O55*M21</f>
        <v>0</v>
      </c>
      <c r="P21" s="92"/>
      <c r="Q21" s="101"/>
      <c r="R21" s="58">
        <f t="shared" si="3"/>
        <v>0</v>
      </c>
      <c r="S21" s="60"/>
      <c r="T21" s="59"/>
      <c r="U21" s="77">
        <f t="shared" si="1"/>
        <v>30.289441176470568</v>
      </c>
      <c r="W21" s="89"/>
    </row>
    <row r="22" spans="1:23" ht="12.75">
      <c r="A22" s="2">
        <v>20</v>
      </c>
      <c r="B22" s="79" t="s">
        <v>204</v>
      </c>
      <c r="C22" s="58">
        <f>'2012年1月'!U22</f>
        <v>-6.444499999999964</v>
      </c>
      <c r="D22" s="56">
        <v>1</v>
      </c>
      <c r="E22" s="57"/>
      <c r="F22" s="58">
        <f t="shared" si="2"/>
        <v>-17.353</v>
      </c>
      <c r="G22" s="56">
        <v>1</v>
      </c>
      <c r="H22" s="57">
        <v>100</v>
      </c>
      <c r="I22" s="58">
        <f t="shared" si="4"/>
        <v>-15</v>
      </c>
      <c r="J22" s="56"/>
      <c r="K22" s="57"/>
      <c r="L22" s="58">
        <f>-L55*J22</f>
        <v>0</v>
      </c>
      <c r="M22" s="56">
        <v>1</v>
      </c>
      <c r="N22" s="57"/>
      <c r="O22" s="58">
        <f>-O55*M22</f>
        <v>-15.789473684210526</v>
      </c>
      <c r="P22" s="92"/>
      <c r="Q22" s="101"/>
      <c r="R22" s="58">
        <f t="shared" si="3"/>
        <v>0</v>
      </c>
      <c r="S22" s="56"/>
      <c r="T22" s="59"/>
      <c r="U22" s="77">
        <f t="shared" si="1"/>
        <v>45.413026315789516</v>
      </c>
      <c r="W22" s="89"/>
    </row>
    <row r="23" spans="1:23" ht="12.75">
      <c r="A23" s="2">
        <v>21</v>
      </c>
      <c r="B23" s="79" t="s">
        <v>17</v>
      </c>
      <c r="C23" s="58">
        <f>'2012年1月'!U23</f>
        <v>50.3991</v>
      </c>
      <c r="D23" s="56"/>
      <c r="E23" s="57"/>
      <c r="F23" s="58">
        <f t="shared" si="2"/>
        <v>0</v>
      </c>
      <c r="G23" s="56"/>
      <c r="H23" s="57"/>
      <c r="I23" s="58">
        <f t="shared" si="4"/>
        <v>0</v>
      </c>
      <c r="J23" s="56"/>
      <c r="K23" s="57"/>
      <c r="L23" s="58">
        <f>-L55*J23</f>
        <v>0</v>
      </c>
      <c r="M23" s="56"/>
      <c r="N23" s="57"/>
      <c r="O23" s="58">
        <f>-O55*M23</f>
        <v>0</v>
      </c>
      <c r="P23" s="92"/>
      <c r="Q23" s="101"/>
      <c r="R23" s="58">
        <f t="shared" si="3"/>
        <v>0</v>
      </c>
      <c r="S23" s="60"/>
      <c r="T23" s="59"/>
      <c r="U23" s="77">
        <f t="shared" si="1"/>
        <v>50.3991</v>
      </c>
      <c r="W23" s="89"/>
    </row>
    <row r="24" spans="1:23" ht="12.75">
      <c r="A24" s="2">
        <v>22</v>
      </c>
      <c r="B24" s="82" t="s">
        <v>18</v>
      </c>
      <c r="C24" s="70">
        <f>'2012年1月'!U24</f>
        <v>141.30909999999997</v>
      </c>
      <c r="D24" s="68"/>
      <c r="E24" s="69"/>
      <c r="F24" s="70">
        <f t="shared" si="2"/>
        <v>0</v>
      </c>
      <c r="G24" s="68">
        <v>1</v>
      </c>
      <c r="H24" s="69"/>
      <c r="I24" s="70">
        <f t="shared" si="4"/>
        <v>-15</v>
      </c>
      <c r="J24" s="68">
        <v>1</v>
      </c>
      <c r="K24" s="69"/>
      <c r="L24" s="70">
        <f>-L55*J24</f>
        <v>-17.647058823529413</v>
      </c>
      <c r="M24" s="68">
        <v>1</v>
      </c>
      <c r="N24" s="69"/>
      <c r="O24" s="70">
        <f>-O55*M24</f>
        <v>-15.789473684210526</v>
      </c>
      <c r="P24" s="93"/>
      <c r="Q24" s="102"/>
      <c r="R24" s="70">
        <f t="shared" si="3"/>
        <v>0</v>
      </c>
      <c r="S24" s="68"/>
      <c r="T24" s="71"/>
      <c r="U24" s="77">
        <f t="shared" si="1"/>
        <v>92.87256749226003</v>
      </c>
      <c r="W24" s="89"/>
    </row>
    <row r="25" spans="1:23" ht="12.75">
      <c r="A25" s="2">
        <v>23</v>
      </c>
      <c r="B25" s="82" t="s">
        <v>19</v>
      </c>
      <c r="C25" s="70">
        <f>'2012年1月'!U25</f>
        <v>-19.067799999999963</v>
      </c>
      <c r="D25" s="68"/>
      <c r="E25" s="69"/>
      <c r="F25" s="70">
        <f t="shared" si="2"/>
        <v>0</v>
      </c>
      <c r="G25" s="68">
        <v>1</v>
      </c>
      <c r="H25" s="69"/>
      <c r="I25" s="70">
        <f t="shared" si="4"/>
        <v>-15</v>
      </c>
      <c r="J25" s="68">
        <v>1</v>
      </c>
      <c r="K25" s="69">
        <v>200</v>
      </c>
      <c r="L25" s="70">
        <f>-L55*J25</f>
        <v>-17.647058823529413</v>
      </c>
      <c r="M25" s="68">
        <v>1</v>
      </c>
      <c r="N25" s="69"/>
      <c r="O25" s="70">
        <f>-O55*M25</f>
        <v>-15.789473684210526</v>
      </c>
      <c r="P25" s="93"/>
      <c r="Q25" s="102"/>
      <c r="R25" s="70">
        <f t="shared" si="3"/>
        <v>0</v>
      </c>
      <c r="S25" s="68"/>
      <c r="T25" s="71"/>
      <c r="U25" s="77">
        <f t="shared" si="1"/>
        <v>132.49566749226008</v>
      </c>
      <c r="W25" s="89"/>
    </row>
    <row r="26" spans="1:23" ht="12.75">
      <c r="A26" s="2">
        <v>24</v>
      </c>
      <c r="B26" s="82" t="s">
        <v>20</v>
      </c>
      <c r="C26" s="70">
        <f>'2012年1月'!U26</f>
        <v>265.95689999999996</v>
      </c>
      <c r="D26" s="68">
        <v>1</v>
      </c>
      <c r="E26" s="69"/>
      <c r="F26" s="70">
        <f t="shared" si="2"/>
        <v>-17.353</v>
      </c>
      <c r="G26" s="68">
        <v>1</v>
      </c>
      <c r="H26" s="69"/>
      <c r="I26" s="70">
        <f t="shared" si="4"/>
        <v>-15</v>
      </c>
      <c r="J26" s="68">
        <v>1</v>
      </c>
      <c r="K26" s="69"/>
      <c r="L26" s="70">
        <f>-L55*J26</f>
        <v>-17.647058823529413</v>
      </c>
      <c r="M26" s="68">
        <v>1</v>
      </c>
      <c r="N26" s="69"/>
      <c r="O26" s="70">
        <f>-O55*M26</f>
        <v>-15.789473684210526</v>
      </c>
      <c r="P26" s="93"/>
      <c r="Q26" s="102"/>
      <c r="R26" s="70">
        <f t="shared" si="3"/>
        <v>0</v>
      </c>
      <c r="S26" s="72"/>
      <c r="T26" s="71"/>
      <c r="U26" s="77">
        <f t="shared" si="1"/>
        <v>200.16736749226</v>
      </c>
      <c r="W26" s="89"/>
    </row>
    <row r="27" spans="1:23" ht="12.75">
      <c r="A27" s="2">
        <v>25</v>
      </c>
      <c r="B27" s="80"/>
      <c r="C27" s="64">
        <f>'2012年1月'!U27</f>
        <v>1.0658141036401503E-14</v>
      </c>
      <c r="D27" s="62"/>
      <c r="E27" s="74"/>
      <c r="F27" s="64">
        <f t="shared" si="2"/>
        <v>0</v>
      </c>
      <c r="G27" s="62"/>
      <c r="H27" s="74"/>
      <c r="I27" s="64">
        <f t="shared" si="4"/>
        <v>0</v>
      </c>
      <c r="J27" s="62"/>
      <c r="K27" s="74"/>
      <c r="L27" s="64">
        <f>-L55*J27</f>
        <v>0</v>
      </c>
      <c r="M27" s="62"/>
      <c r="N27" s="74"/>
      <c r="O27" s="64">
        <f>-O55*M27</f>
        <v>0</v>
      </c>
      <c r="P27" s="95"/>
      <c r="Q27" s="104"/>
      <c r="R27" s="64">
        <f t="shared" si="3"/>
        <v>0</v>
      </c>
      <c r="S27" s="62"/>
      <c r="T27" s="66"/>
      <c r="U27" s="77">
        <f t="shared" si="1"/>
        <v>1.0658141036401503E-14</v>
      </c>
      <c r="W27" s="89"/>
    </row>
    <row r="28" spans="1:23" ht="12.75">
      <c r="A28" s="2">
        <v>26</v>
      </c>
      <c r="B28" s="80" t="s">
        <v>21</v>
      </c>
      <c r="C28" s="64">
        <f>'2012年1月'!U28</f>
        <v>-85.9432</v>
      </c>
      <c r="D28" s="65"/>
      <c r="E28" s="74"/>
      <c r="F28" s="64">
        <f t="shared" si="2"/>
        <v>0</v>
      </c>
      <c r="G28" s="65"/>
      <c r="H28" s="74"/>
      <c r="I28" s="64">
        <f t="shared" si="4"/>
        <v>0</v>
      </c>
      <c r="J28" s="65"/>
      <c r="K28" s="74"/>
      <c r="L28" s="64">
        <f>-L55*J28</f>
        <v>0</v>
      </c>
      <c r="M28" s="65"/>
      <c r="N28" s="74"/>
      <c r="O28" s="64">
        <f>-O55*M28</f>
        <v>0</v>
      </c>
      <c r="P28" s="97"/>
      <c r="Q28" s="106"/>
      <c r="R28" s="64">
        <f t="shared" si="3"/>
        <v>0</v>
      </c>
      <c r="S28" s="65"/>
      <c r="T28" s="66"/>
      <c r="U28" s="77">
        <f t="shared" si="1"/>
        <v>-85.9432</v>
      </c>
      <c r="W28" s="89"/>
    </row>
    <row r="29" spans="1:23" ht="12.75">
      <c r="A29" s="2">
        <v>27</v>
      </c>
      <c r="B29" s="80"/>
      <c r="C29" s="64">
        <f>'2012年1月'!U29</f>
        <v>0</v>
      </c>
      <c r="D29" s="62"/>
      <c r="E29" s="63"/>
      <c r="F29" s="64">
        <f t="shared" si="2"/>
        <v>0</v>
      </c>
      <c r="G29" s="62"/>
      <c r="H29" s="63"/>
      <c r="I29" s="64">
        <f t="shared" si="4"/>
        <v>0</v>
      </c>
      <c r="J29" s="62"/>
      <c r="K29" s="63"/>
      <c r="L29" s="64">
        <f>-L55*J29</f>
        <v>0</v>
      </c>
      <c r="M29" s="62"/>
      <c r="N29" s="63"/>
      <c r="O29" s="64">
        <f>-O55*M29</f>
        <v>0</v>
      </c>
      <c r="P29" s="95"/>
      <c r="Q29" s="104"/>
      <c r="R29" s="64">
        <f t="shared" si="3"/>
        <v>0</v>
      </c>
      <c r="S29" s="62"/>
      <c r="T29" s="66"/>
      <c r="U29" s="77">
        <f t="shared" si="1"/>
        <v>0</v>
      </c>
      <c r="W29" s="89"/>
    </row>
    <row r="30" spans="1:23" ht="12.75">
      <c r="A30" s="2">
        <v>28</v>
      </c>
      <c r="B30" s="81" t="s">
        <v>22</v>
      </c>
      <c r="C30" s="46">
        <f>'2012年1月'!U30</f>
        <v>-50.53079999999999</v>
      </c>
      <c r="D30" s="48"/>
      <c r="E30" s="75"/>
      <c r="F30" s="46">
        <f t="shared" si="2"/>
        <v>0</v>
      </c>
      <c r="G30" s="48"/>
      <c r="H30" s="75"/>
      <c r="I30" s="46">
        <f t="shared" si="4"/>
        <v>0</v>
      </c>
      <c r="J30" s="48"/>
      <c r="K30" s="75"/>
      <c r="L30" s="46">
        <f>-L55*J30</f>
        <v>0</v>
      </c>
      <c r="M30" s="48"/>
      <c r="N30" s="75"/>
      <c r="O30" s="46">
        <f>-O55*M30</f>
        <v>0</v>
      </c>
      <c r="P30" s="98"/>
      <c r="Q30" s="107"/>
      <c r="R30" s="46">
        <f t="shared" si="3"/>
        <v>0</v>
      </c>
      <c r="S30" s="48"/>
      <c r="T30" s="47"/>
      <c r="U30" s="77">
        <f t="shared" si="1"/>
        <v>-50.53079999999999</v>
      </c>
      <c r="V30" s="28"/>
      <c r="W30" s="89"/>
    </row>
    <row r="31" spans="1:23" ht="12.75">
      <c r="A31" s="2">
        <v>29</v>
      </c>
      <c r="B31" s="81"/>
      <c r="C31" s="46">
        <f>'2012年1月'!U31</f>
        <v>0</v>
      </c>
      <c r="D31" s="44"/>
      <c r="E31" s="75"/>
      <c r="F31" s="46">
        <f t="shared" si="2"/>
        <v>0</v>
      </c>
      <c r="G31" s="44"/>
      <c r="H31" s="75"/>
      <c r="I31" s="46">
        <f t="shared" si="4"/>
        <v>0</v>
      </c>
      <c r="J31" s="44"/>
      <c r="K31" s="75"/>
      <c r="L31" s="46">
        <f>-L55*J31</f>
        <v>0</v>
      </c>
      <c r="M31" s="44"/>
      <c r="N31" s="75"/>
      <c r="O31" s="46">
        <f>-O55*M31</f>
        <v>0</v>
      </c>
      <c r="P31" s="96"/>
      <c r="Q31" s="105"/>
      <c r="R31" s="46">
        <f t="shared" si="3"/>
        <v>0</v>
      </c>
      <c r="S31" s="44"/>
      <c r="T31" s="47"/>
      <c r="U31" s="77">
        <f t="shared" si="1"/>
        <v>0</v>
      </c>
      <c r="W31" s="89"/>
    </row>
    <row r="32" spans="1:23" ht="12.75">
      <c r="A32" s="2">
        <v>30</v>
      </c>
      <c r="B32" s="81" t="s">
        <v>24</v>
      </c>
      <c r="C32" s="46">
        <f>'2012年1月'!U32</f>
        <v>122.7613</v>
      </c>
      <c r="D32" s="48">
        <v>1</v>
      </c>
      <c r="E32" s="75"/>
      <c r="F32" s="46">
        <f t="shared" si="2"/>
        <v>-17.353</v>
      </c>
      <c r="G32" s="48"/>
      <c r="H32" s="75"/>
      <c r="I32" s="46">
        <f t="shared" si="4"/>
        <v>0</v>
      </c>
      <c r="J32" s="48"/>
      <c r="K32" s="75"/>
      <c r="L32" s="46">
        <f>-L55*J32</f>
        <v>0</v>
      </c>
      <c r="M32" s="48">
        <v>1</v>
      </c>
      <c r="N32" s="75"/>
      <c r="O32" s="46">
        <f>-O55*M32</f>
        <v>-15.789473684210526</v>
      </c>
      <c r="P32" s="98"/>
      <c r="Q32" s="107"/>
      <c r="R32" s="46">
        <f t="shared" si="3"/>
        <v>0</v>
      </c>
      <c r="S32" s="48"/>
      <c r="T32" s="47"/>
      <c r="U32" s="77">
        <f t="shared" si="1"/>
        <v>89.61882631578948</v>
      </c>
      <c r="W32" s="89"/>
    </row>
    <row r="33" spans="1:23" ht="12.75">
      <c r="A33" s="2">
        <v>31</v>
      </c>
      <c r="B33" s="78" t="s">
        <v>25</v>
      </c>
      <c r="C33" s="49">
        <f>'2012年1月'!U33</f>
        <v>133.69979999999998</v>
      </c>
      <c r="D33" s="50"/>
      <c r="E33" s="51"/>
      <c r="F33" s="52">
        <f t="shared" si="2"/>
        <v>0</v>
      </c>
      <c r="G33" s="50"/>
      <c r="H33" s="51"/>
      <c r="I33" s="52">
        <f t="shared" si="4"/>
        <v>0</v>
      </c>
      <c r="J33" s="50"/>
      <c r="K33" s="51"/>
      <c r="L33" s="52">
        <f>-L55*J33</f>
        <v>0</v>
      </c>
      <c r="M33" s="50"/>
      <c r="N33" s="51"/>
      <c r="O33" s="52">
        <f>-O55*M33</f>
        <v>0</v>
      </c>
      <c r="P33" s="90"/>
      <c r="Q33" s="99"/>
      <c r="R33" s="52">
        <f t="shared" si="3"/>
        <v>0</v>
      </c>
      <c r="S33" s="50"/>
      <c r="T33" s="53"/>
      <c r="U33" s="77">
        <f t="shared" si="1"/>
        <v>133.69979999999998</v>
      </c>
      <c r="W33" s="89"/>
    </row>
    <row r="34" spans="1:23" ht="12.75">
      <c r="A34" s="2">
        <v>32</v>
      </c>
      <c r="B34" s="78" t="s">
        <v>55</v>
      </c>
      <c r="C34" s="49">
        <f>'2012年1月'!U34</f>
        <v>471.9061</v>
      </c>
      <c r="D34" s="88">
        <v>1</v>
      </c>
      <c r="E34" s="51"/>
      <c r="F34" s="52">
        <f t="shared" si="2"/>
        <v>-17.353</v>
      </c>
      <c r="G34" s="88">
        <v>1</v>
      </c>
      <c r="H34" s="51"/>
      <c r="I34" s="52">
        <f t="shared" si="4"/>
        <v>-15</v>
      </c>
      <c r="J34" s="88">
        <v>1</v>
      </c>
      <c r="K34" s="51"/>
      <c r="L34" s="52">
        <f>-L55*J34</f>
        <v>-17.647058823529413</v>
      </c>
      <c r="M34" s="50">
        <v>1</v>
      </c>
      <c r="N34" s="51"/>
      <c r="O34" s="52">
        <f>-O55*M34</f>
        <v>-15.789473684210526</v>
      </c>
      <c r="P34" s="90"/>
      <c r="Q34" s="99"/>
      <c r="R34" s="52">
        <f t="shared" si="3"/>
        <v>0</v>
      </c>
      <c r="S34" s="54"/>
      <c r="T34" s="53"/>
      <c r="U34" s="77">
        <f t="shared" si="1"/>
        <v>406.11656749226006</v>
      </c>
      <c r="W34" s="89"/>
    </row>
    <row r="35" spans="1:23" ht="12.75">
      <c r="A35" s="2">
        <v>33</v>
      </c>
      <c r="B35" s="78" t="s">
        <v>26</v>
      </c>
      <c r="C35" s="49">
        <f>'2012年1月'!U35</f>
        <v>187.09719999999996</v>
      </c>
      <c r="D35" s="50">
        <v>1</v>
      </c>
      <c r="E35" s="51"/>
      <c r="F35" s="52">
        <f t="shared" si="2"/>
        <v>-17.353</v>
      </c>
      <c r="G35" s="50">
        <v>1</v>
      </c>
      <c r="H35" s="51"/>
      <c r="I35" s="52">
        <f t="shared" si="4"/>
        <v>-15</v>
      </c>
      <c r="J35" s="50">
        <v>1</v>
      </c>
      <c r="K35" s="51"/>
      <c r="L35" s="52">
        <f>-L55*J35</f>
        <v>-17.647058823529413</v>
      </c>
      <c r="M35" s="50">
        <v>1</v>
      </c>
      <c r="N35" s="51"/>
      <c r="O35" s="52">
        <f>-O55*M35</f>
        <v>-15.789473684210526</v>
      </c>
      <c r="P35" s="90"/>
      <c r="Q35" s="99"/>
      <c r="R35" s="52">
        <f t="shared" si="3"/>
        <v>0</v>
      </c>
      <c r="S35" s="50"/>
      <c r="T35" s="53"/>
      <c r="U35" s="77">
        <f t="shared" si="1"/>
        <v>121.30766749226001</v>
      </c>
      <c r="W35" s="89"/>
    </row>
    <row r="36" spans="1:23" ht="12.75">
      <c r="A36" s="2">
        <v>34</v>
      </c>
      <c r="B36" s="79"/>
      <c r="C36" s="58">
        <f>'2012年1月'!U36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4"/>
        <v>0</v>
      </c>
      <c r="J36" s="56"/>
      <c r="K36" s="57"/>
      <c r="L36" s="58">
        <f>-L55*J36</f>
        <v>0</v>
      </c>
      <c r="M36" s="56"/>
      <c r="N36" s="57"/>
      <c r="O36" s="58">
        <f>-O55*M36</f>
        <v>0</v>
      </c>
      <c r="P36" s="92"/>
      <c r="Q36" s="101"/>
      <c r="R36" s="58">
        <f t="shared" si="3"/>
        <v>0</v>
      </c>
      <c r="S36" s="60"/>
      <c r="T36" s="59"/>
      <c r="U36" s="77">
        <f t="shared" si="1"/>
        <v>0</v>
      </c>
      <c r="W36" s="89"/>
    </row>
    <row r="37" spans="1:23" ht="12.75">
      <c r="A37" s="2">
        <v>35</v>
      </c>
      <c r="B37" s="79" t="s">
        <v>27</v>
      </c>
      <c r="C37" s="58">
        <f>'2012年1月'!U37</f>
        <v>517.7108000000001</v>
      </c>
      <c r="D37" s="56">
        <v>1</v>
      </c>
      <c r="E37" s="57"/>
      <c r="F37" s="58">
        <f t="shared" si="2"/>
        <v>-17.353</v>
      </c>
      <c r="G37" s="56">
        <v>1</v>
      </c>
      <c r="H37" s="57"/>
      <c r="I37" s="58">
        <f t="shared" si="4"/>
        <v>-15</v>
      </c>
      <c r="J37" s="56">
        <v>1</v>
      </c>
      <c r="K37" s="57"/>
      <c r="L37" s="58">
        <f>-L55*J37</f>
        <v>-17.647058823529413</v>
      </c>
      <c r="M37" s="56">
        <v>1</v>
      </c>
      <c r="N37" s="57"/>
      <c r="O37" s="58">
        <f>-O55*M37</f>
        <v>-15.789473684210526</v>
      </c>
      <c r="P37" s="92"/>
      <c r="Q37" s="101"/>
      <c r="R37" s="58">
        <f t="shared" si="3"/>
        <v>0</v>
      </c>
      <c r="S37" s="56"/>
      <c r="T37" s="59"/>
      <c r="U37" s="77">
        <f t="shared" si="1"/>
        <v>451.92126749226014</v>
      </c>
      <c r="V37" s="28"/>
      <c r="W37" s="89"/>
    </row>
    <row r="38" spans="1:23" ht="12.75">
      <c r="A38" s="2">
        <v>36</v>
      </c>
      <c r="B38" s="79" t="s">
        <v>28</v>
      </c>
      <c r="C38" s="58">
        <f>'2012年1月'!U38</f>
        <v>-1.1767999999999912</v>
      </c>
      <c r="D38" s="56">
        <v>1</v>
      </c>
      <c r="E38" s="57"/>
      <c r="F38" s="58">
        <f t="shared" si="2"/>
        <v>-17.353</v>
      </c>
      <c r="G38" s="56">
        <v>1</v>
      </c>
      <c r="H38" s="57"/>
      <c r="I38" s="58">
        <f t="shared" si="4"/>
        <v>-15</v>
      </c>
      <c r="J38" s="56">
        <v>1</v>
      </c>
      <c r="K38" s="57"/>
      <c r="L38" s="58">
        <f>-L55*J38</f>
        <v>-17.647058823529413</v>
      </c>
      <c r="M38" s="56">
        <v>1</v>
      </c>
      <c r="N38" s="57"/>
      <c r="O38" s="58">
        <f>-O55*M38</f>
        <v>-15.789473684210526</v>
      </c>
      <c r="P38" s="92"/>
      <c r="Q38" s="101"/>
      <c r="R38" s="58">
        <f t="shared" si="3"/>
        <v>0</v>
      </c>
      <c r="S38" s="60"/>
      <c r="T38" s="59"/>
      <c r="U38" s="77">
        <f t="shared" si="1"/>
        <v>-66.96633250773993</v>
      </c>
      <c r="W38" s="89"/>
    </row>
    <row r="39" spans="1:23" ht="12.75">
      <c r="A39" s="2">
        <v>37</v>
      </c>
      <c r="B39" s="82"/>
      <c r="C39" s="70">
        <f>'2012年1月'!U39</f>
        <v>0</v>
      </c>
      <c r="D39" s="68"/>
      <c r="E39" s="69"/>
      <c r="F39" s="70">
        <f t="shared" si="2"/>
        <v>0</v>
      </c>
      <c r="G39" s="68"/>
      <c r="H39" s="69"/>
      <c r="I39" s="70">
        <f t="shared" si="4"/>
        <v>0</v>
      </c>
      <c r="J39" s="68"/>
      <c r="K39" s="69"/>
      <c r="L39" s="70">
        <f>-L55*J39</f>
        <v>0</v>
      </c>
      <c r="M39" s="68"/>
      <c r="N39" s="69"/>
      <c r="O39" s="70">
        <f>-O55*M39</f>
        <v>0</v>
      </c>
      <c r="P39" s="93"/>
      <c r="Q39" s="102"/>
      <c r="R39" s="70">
        <f t="shared" si="3"/>
        <v>0</v>
      </c>
      <c r="S39" s="68"/>
      <c r="T39" s="71"/>
      <c r="U39" s="77">
        <f t="shared" si="1"/>
        <v>0</v>
      </c>
      <c r="W39" s="89"/>
    </row>
    <row r="40" spans="1:23" ht="12.75">
      <c r="A40" s="2">
        <v>38</v>
      </c>
      <c r="B40" s="82"/>
      <c r="C40" s="70">
        <f>'2012年1月'!U40</f>
        <v>0</v>
      </c>
      <c r="D40" s="68"/>
      <c r="E40" s="69"/>
      <c r="F40" s="70">
        <f t="shared" si="2"/>
        <v>0</v>
      </c>
      <c r="G40" s="68"/>
      <c r="H40" s="69"/>
      <c r="I40" s="70">
        <f t="shared" si="4"/>
        <v>0</v>
      </c>
      <c r="J40" s="68"/>
      <c r="K40" s="69"/>
      <c r="L40" s="70">
        <f>-L55*J40</f>
        <v>0</v>
      </c>
      <c r="M40" s="68"/>
      <c r="N40" s="69"/>
      <c r="O40" s="70">
        <f>-O55*M40</f>
        <v>0</v>
      </c>
      <c r="P40" s="93"/>
      <c r="Q40" s="102"/>
      <c r="R40" s="70">
        <f t="shared" si="3"/>
        <v>0</v>
      </c>
      <c r="S40" s="68"/>
      <c r="T40" s="71"/>
      <c r="U40" s="110">
        <f t="shared" si="1"/>
        <v>0</v>
      </c>
      <c r="W40" s="89"/>
    </row>
    <row r="41" spans="1:23" ht="12.75">
      <c r="A41" s="2">
        <v>39</v>
      </c>
      <c r="B41" s="82"/>
      <c r="C41" s="70">
        <f>'2012年1月'!U41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4"/>
        <v>0</v>
      </c>
      <c r="J41" s="68"/>
      <c r="K41" s="69"/>
      <c r="L41" s="70">
        <f>-L55*J41</f>
        <v>0</v>
      </c>
      <c r="M41" s="68"/>
      <c r="N41" s="69"/>
      <c r="O41" s="70">
        <f>-O55*M41</f>
        <v>0</v>
      </c>
      <c r="P41" s="93"/>
      <c r="Q41" s="102"/>
      <c r="R41" s="70">
        <f t="shared" si="3"/>
        <v>0</v>
      </c>
      <c r="S41" s="68"/>
      <c r="T41" s="71"/>
      <c r="U41" s="77">
        <f t="shared" si="1"/>
        <v>0</v>
      </c>
      <c r="W41" s="89"/>
    </row>
    <row r="42" spans="1:23" ht="12.75">
      <c r="A42" s="2">
        <v>40</v>
      </c>
      <c r="B42" s="80"/>
      <c r="C42" s="64">
        <f>'2012年1月'!U42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4"/>
        <v>0</v>
      </c>
      <c r="J42" s="62"/>
      <c r="K42" s="74"/>
      <c r="L42" s="64">
        <f>-L55*J42</f>
        <v>0</v>
      </c>
      <c r="M42" s="62"/>
      <c r="N42" s="74"/>
      <c r="O42" s="64">
        <f>-O55*M42</f>
        <v>0</v>
      </c>
      <c r="P42" s="95"/>
      <c r="Q42" s="104"/>
      <c r="R42" s="64">
        <f t="shared" si="3"/>
        <v>0</v>
      </c>
      <c r="S42" s="62"/>
      <c r="T42" s="66"/>
      <c r="U42" s="77">
        <f t="shared" si="1"/>
        <v>0</v>
      </c>
      <c r="W42" s="89"/>
    </row>
    <row r="43" spans="1:23" ht="12.75">
      <c r="A43" s="2">
        <v>41</v>
      </c>
      <c r="B43" s="80" t="s">
        <v>30</v>
      </c>
      <c r="C43" s="64">
        <f>'2012年1月'!U43</f>
        <v>-102.48039999999999</v>
      </c>
      <c r="D43" s="65">
        <v>1</v>
      </c>
      <c r="E43" s="74">
        <v>200</v>
      </c>
      <c r="F43" s="64">
        <f t="shared" si="2"/>
        <v>-17.353</v>
      </c>
      <c r="G43" s="65">
        <v>1</v>
      </c>
      <c r="H43" s="74"/>
      <c r="I43" s="64">
        <f t="shared" si="4"/>
        <v>-15</v>
      </c>
      <c r="J43" s="65">
        <v>1</v>
      </c>
      <c r="K43" s="74"/>
      <c r="L43" s="64">
        <f>-L55*J43</f>
        <v>-17.647058823529413</v>
      </c>
      <c r="M43" s="65"/>
      <c r="N43" s="74"/>
      <c r="O43" s="64">
        <f>-O55*M43</f>
        <v>0</v>
      </c>
      <c r="P43" s="97"/>
      <c r="Q43" s="106"/>
      <c r="R43" s="64">
        <f t="shared" si="3"/>
        <v>0</v>
      </c>
      <c r="S43" s="65"/>
      <c r="T43" s="66"/>
      <c r="U43" s="77">
        <f t="shared" si="1"/>
        <v>47.519541176470604</v>
      </c>
      <c r="W43" s="89"/>
    </row>
    <row r="44" spans="1:23" ht="12.75">
      <c r="A44" s="2">
        <v>42</v>
      </c>
      <c r="B44" s="80" t="s">
        <v>57</v>
      </c>
      <c r="C44" s="64">
        <f>'2012年1月'!U44</f>
        <v>120.10559999999995</v>
      </c>
      <c r="D44" s="65">
        <v>1</v>
      </c>
      <c r="E44" s="74"/>
      <c r="F44" s="64">
        <f t="shared" si="2"/>
        <v>-17.353</v>
      </c>
      <c r="G44" s="65">
        <v>1</v>
      </c>
      <c r="H44" s="74"/>
      <c r="I44" s="64">
        <f t="shared" si="4"/>
        <v>-15</v>
      </c>
      <c r="J44" s="65">
        <v>1</v>
      </c>
      <c r="K44" s="74"/>
      <c r="L44" s="64">
        <f>-L55*J44</f>
        <v>-17.647058823529413</v>
      </c>
      <c r="M44" s="65"/>
      <c r="N44" s="74"/>
      <c r="O44" s="64">
        <f>-O55*M44</f>
        <v>0</v>
      </c>
      <c r="P44" s="97"/>
      <c r="Q44" s="106"/>
      <c r="R44" s="64">
        <f t="shared" si="3"/>
        <v>0</v>
      </c>
      <c r="S44" s="65"/>
      <c r="T44" s="66"/>
      <c r="U44" s="77">
        <f t="shared" si="1"/>
        <v>70.10554117647052</v>
      </c>
      <c r="W44" s="89"/>
    </row>
    <row r="45" spans="1:23" ht="12.75">
      <c r="A45" s="2">
        <v>43</v>
      </c>
      <c r="B45" s="81"/>
      <c r="C45" s="46">
        <f>'2012年1月'!U45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4"/>
        <v>0</v>
      </c>
      <c r="J45" s="48"/>
      <c r="K45" s="75"/>
      <c r="L45" s="46">
        <f>-L55*J45</f>
        <v>0</v>
      </c>
      <c r="M45" s="48"/>
      <c r="N45" s="75"/>
      <c r="O45" s="46">
        <f>-O55*M45</f>
        <v>0</v>
      </c>
      <c r="P45" s="98"/>
      <c r="Q45" s="107"/>
      <c r="R45" s="46">
        <f t="shared" si="3"/>
        <v>0</v>
      </c>
      <c r="S45" s="48"/>
      <c r="T45" s="47"/>
      <c r="U45" s="77">
        <f t="shared" si="1"/>
        <v>0</v>
      </c>
      <c r="W45" s="89"/>
    </row>
    <row r="46" spans="1:23" ht="12.75">
      <c r="A46" s="2">
        <v>44</v>
      </c>
      <c r="B46" s="84">
        <v>9631</v>
      </c>
      <c r="C46" s="46">
        <f>'2012年1月'!U46</f>
        <v>-30.023200000000003</v>
      </c>
      <c r="D46" s="44"/>
      <c r="E46" s="75"/>
      <c r="F46" s="46">
        <f t="shared" si="2"/>
        <v>0</v>
      </c>
      <c r="G46" s="44"/>
      <c r="H46" s="75"/>
      <c r="I46" s="46">
        <f t="shared" si="4"/>
        <v>0</v>
      </c>
      <c r="J46" s="44"/>
      <c r="K46" s="75"/>
      <c r="L46" s="46">
        <f>-L55*J46</f>
        <v>0</v>
      </c>
      <c r="M46" s="44"/>
      <c r="N46" s="75"/>
      <c r="O46" s="46">
        <f>-O55*M46</f>
        <v>0</v>
      </c>
      <c r="P46" s="96"/>
      <c r="Q46" s="105"/>
      <c r="R46" s="46">
        <f t="shared" si="3"/>
        <v>0</v>
      </c>
      <c r="S46" s="44"/>
      <c r="T46" s="47"/>
      <c r="U46" s="77">
        <f t="shared" si="1"/>
        <v>-30.023200000000003</v>
      </c>
      <c r="W46" s="89"/>
    </row>
    <row r="47" spans="1:23" ht="12.75">
      <c r="A47" s="2">
        <v>45</v>
      </c>
      <c r="B47" s="81" t="s">
        <v>124</v>
      </c>
      <c r="C47" s="46">
        <f>'2012年1月'!U47</f>
        <v>109.28659999999998</v>
      </c>
      <c r="D47" s="48"/>
      <c r="E47" s="75"/>
      <c r="F47" s="46">
        <f t="shared" si="2"/>
        <v>0</v>
      </c>
      <c r="G47" s="48">
        <v>1</v>
      </c>
      <c r="H47" s="75"/>
      <c r="I47" s="46">
        <f t="shared" si="4"/>
        <v>-15</v>
      </c>
      <c r="J47" s="48">
        <v>1</v>
      </c>
      <c r="K47" s="75"/>
      <c r="L47" s="46">
        <f>-L55*J47</f>
        <v>-17.647058823529413</v>
      </c>
      <c r="M47" s="48">
        <v>1</v>
      </c>
      <c r="N47" s="75"/>
      <c r="O47" s="46">
        <f>-O55*M47</f>
        <v>-15.789473684210526</v>
      </c>
      <c r="P47" s="98"/>
      <c r="Q47" s="107"/>
      <c r="R47" s="46">
        <f t="shared" si="3"/>
        <v>0</v>
      </c>
      <c r="S47" s="48"/>
      <c r="T47" s="47"/>
      <c r="U47" s="77">
        <f t="shared" si="1"/>
        <v>60.850067492260045</v>
      </c>
      <c r="W47" s="89"/>
    </row>
    <row r="48" spans="1:23" ht="12.75">
      <c r="A48" s="2">
        <v>46</v>
      </c>
      <c r="B48" s="78"/>
      <c r="C48" s="49">
        <f>'2012年1月'!U48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4"/>
        <v>0</v>
      </c>
      <c r="J48" s="50"/>
      <c r="K48" s="51"/>
      <c r="L48" s="52">
        <f>-L55*J48</f>
        <v>0</v>
      </c>
      <c r="M48" s="50"/>
      <c r="N48" s="51"/>
      <c r="O48" s="52">
        <f>-O55*M48</f>
        <v>0</v>
      </c>
      <c r="P48" s="90"/>
      <c r="Q48" s="108"/>
      <c r="R48" s="52">
        <f t="shared" si="3"/>
        <v>0</v>
      </c>
      <c r="S48" s="50"/>
      <c r="T48" s="53"/>
      <c r="U48" s="77">
        <f t="shared" si="1"/>
        <v>0</v>
      </c>
      <c r="W48" s="89"/>
    </row>
    <row r="49" spans="1:23" ht="12.75">
      <c r="A49" s="2">
        <v>47</v>
      </c>
      <c r="B49" s="78"/>
      <c r="C49" s="49">
        <f>'2012年1月'!U49</f>
        <v>0</v>
      </c>
      <c r="D49" s="50"/>
      <c r="E49" s="51"/>
      <c r="F49" s="52">
        <f t="shared" si="2"/>
        <v>0</v>
      </c>
      <c r="G49" s="50"/>
      <c r="H49" s="51"/>
      <c r="I49" s="52">
        <f t="shared" si="4"/>
        <v>0</v>
      </c>
      <c r="J49" s="50"/>
      <c r="K49" s="51"/>
      <c r="L49" s="52">
        <f>-L55*J49</f>
        <v>0</v>
      </c>
      <c r="M49" s="50"/>
      <c r="N49" s="51"/>
      <c r="O49" s="52">
        <f>-O55*M49</f>
        <v>0</v>
      </c>
      <c r="P49" s="90"/>
      <c r="Q49" s="108"/>
      <c r="R49" s="52">
        <f t="shared" si="3"/>
        <v>0</v>
      </c>
      <c r="S49" s="54"/>
      <c r="T49" s="53"/>
      <c r="U49" s="77">
        <f t="shared" si="1"/>
        <v>0</v>
      </c>
      <c r="W49" s="89"/>
    </row>
    <row r="50" spans="1:23" ht="12.75">
      <c r="A50" s="2">
        <v>48</v>
      </c>
      <c r="B50" s="78"/>
      <c r="C50" s="49">
        <f>'2012年1月'!U50</f>
        <v>0</v>
      </c>
      <c r="D50" s="50"/>
      <c r="E50" s="51"/>
      <c r="F50" s="52">
        <f t="shared" si="2"/>
        <v>0</v>
      </c>
      <c r="G50" s="50"/>
      <c r="H50" s="51"/>
      <c r="I50" s="52">
        <f t="shared" si="4"/>
        <v>0</v>
      </c>
      <c r="J50" s="50"/>
      <c r="K50" s="51"/>
      <c r="L50" s="52">
        <f>-L55*J50</f>
        <v>0</v>
      </c>
      <c r="M50" s="50"/>
      <c r="N50" s="51"/>
      <c r="O50" s="52">
        <f>-O55*M50</f>
        <v>0</v>
      </c>
      <c r="P50" s="90"/>
      <c r="Q50" s="108"/>
      <c r="R50" s="52">
        <f t="shared" si="3"/>
        <v>0</v>
      </c>
      <c r="S50" s="50"/>
      <c r="T50" s="53"/>
      <c r="U50" s="77">
        <f t="shared" si="1"/>
        <v>0</v>
      </c>
      <c r="W50" s="89"/>
    </row>
    <row r="51" spans="1:23" ht="12.75">
      <c r="A51" s="2">
        <v>49</v>
      </c>
      <c r="B51" s="79"/>
      <c r="C51" s="58">
        <f>'2012年1月'!U51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4"/>
        <v>0</v>
      </c>
      <c r="J51" s="56"/>
      <c r="K51" s="73"/>
      <c r="L51" s="58">
        <f>-L55*J51</f>
        <v>0</v>
      </c>
      <c r="M51" s="56"/>
      <c r="N51" s="73"/>
      <c r="O51" s="58">
        <f>-O55*M51</f>
        <v>0</v>
      </c>
      <c r="P51" s="56"/>
      <c r="Q51" s="73"/>
      <c r="R51" s="58">
        <f t="shared" si="3"/>
        <v>0</v>
      </c>
      <c r="S51" s="60"/>
      <c r="T51" s="59"/>
      <c r="U51" s="77">
        <f t="shared" si="1"/>
        <v>0</v>
      </c>
      <c r="W51" s="89"/>
    </row>
    <row r="52" spans="1:23" ht="12.75">
      <c r="A52" s="2">
        <v>50</v>
      </c>
      <c r="B52" s="79" t="s">
        <v>35</v>
      </c>
      <c r="C52" s="58">
        <f>'2012年1月'!U52</f>
        <v>76.73379999999999</v>
      </c>
      <c r="D52" s="60"/>
      <c r="E52" s="73"/>
      <c r="F52" s="58">
        <f t="shared" si="2"/>
        <v>0</v>
      </c>
      <c r="G52" s="60"/>
      <c r="H52" s="73"/>
      <c r="I52" s="58">
        <f t="shared" si="4"/>
        <v>0</v>
      </c>
      <c r="J52" s="60"/>
      <c r="K52" s="73"/>
      <c r="L52" s="58">
        <f>-L55*J52</f>
        <v>0</v>
      </c>
      <c r="M52" s="60"/>
      <c r="N52" s="73"/>
      <c r="O52" s="58">
        <f>-O55*M52</f>
        <v>0</v>
      </c>
      <c r="P52" s="60"/>
      <c r="Q52" s="73"/>
      <c r="R52" s="58">
        <f t="shared" si="3"/>
        <v>0</v>
      </c>
      <c r="S52" s="56"/>
      <c r="T52" s="59"/>
      <c r="U52" s="77">
        <f t="shared" si="1"/>
        <v>76.73379999999999</v>
      </c>
      <c r="W52" s="89"/>
    </row>
    <row r="53" spans="1:23" ht="12.75">
      <c r="A53" s="2">
        <v>51</v>
      </c>
      <c r="B53" s="87"/>
      <c r="C53" s="58">
        <f>'2012年1月'!U53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4"/>
        <v>0</v>
      </c>
      <c r="J53" s="56"/>
      <c r="K53" s="73"/>
      <c r="L53" s="58">
        <f>-L55*J53</f>
        <v>0</v>
      </c>
      <c r="M53" s="56"/>
      <c r="N53" s="73"/>
      <c r="O53" s="58">
        <f>-O55*M53</f>
        <v>0</v>
      </c>
      <c r="P53" s="56"/>
      <c r="Q53" s="73"/>
      <c r="R53" s="58">
        <f t="shared" si="3"/>
        <v>0</v>
      </c>
      <c r="S53" s="56"/>
      <c r="T53" s="59"/>
      <c r="U53" s="77">
        <f t="shared" si="1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37</v>
      </c>
      <c r="D55" s="1">
        <f>SUM(D3:D53)</f>
        <v>17</v>
      </c>
      <c r="F55" s="1">
        <f>E66/D55</f>
        <v>17.352941176470587</v>
      </c>
      <c r="G55" s="1">
        <f>SUM(G3:G53)</f>
        <v>20</v>
      </c>
      <c r="I55" s="1">
        <f>H66/G55</f>
        <v>15</v>
      </c>
      <c r="J55" s="1">
        <f>SUM(J3:J53)</f>
        <v>17</v>
      </c>
      <c r="L55" s="1">
        <f>K66/J55</f>
        <v>17.647058823529413</v>
      </c>
      <c r="M55" s="1">
        <v>19</v>
      </c>
      <c r="O55" s="1">
        <f>N66/M55</f>
        <v>15.789473684210526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-300.0010000000001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-300.00000000000006</v>
      </c>
      <c r="N57" s="28" t="s">
        <v>38</v>
      </c>
      <c r="O57" s="1">
        <f>SUM(O3:O53)</f>
        <v>-299.99999999999994</v>
      </c>
      <c r="Q57" s="28" t="s">
        <v>38</v>
      </c>
      <c r="R57" s="1">
        <f>SUM(R3:R53)</f>
        <v>0</v>
      </c>
      <c r="U57" s="19"/>
    </row>
    <row r="58" spans="2:21" ht="12.75">
      <c r="B58" s="29" t="s">
        <v>39</v>
      </c>
      <c r="C58" s="27">
        <f>SUM(C3:C53)</f>
        <v>3100.0034999999993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2700.0024999999996</v>
      </c>
      <c r="W59" s="89">
        <f>U59</f>
        <v>2700.0024999999996</v>
      </c>
    </row>
    <row r="60" spans="4:20" ht="12.75" customHeight="1">
      <c r="D60" s="147" t="s">
        <v>368</v>
      </c>
      <c r="E60" s="148"/>
      <c r="F60" s="149"/>
      <c r="G60" s="147" t="s">
        <v>369</v>
      </c>
      <c r="H60" s="148"/>
      <c r="I60" s="149"/>
      <c r="J60" s="147" t="s">
        <v>370</v>
      </c>
      <c r="K60" s="148"/>
      <c r="L60" s="149"/>
      <c r="M60" s="147" t="s">
        <v>371</v>
      </c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v>300</v>
      </c>
      <c r="L66" s="37"/>
      <c r="M66" s="38" t="s">
        <v>40</v>
      </c>
      <c r="N66" s="36">
        <v>300</v>
      </c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372</v>
      </c>
      <c r="E74" s="145"/>
      <c r="F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74</v>
      </c>
      <c r="E89" s="28">
        <v>5</v>
      </c>
      <c r="G89" s="109"/>
      <c r="J89" s="109"/>
      <c r="K89" s="28"/>
      <c r="M89" s="109"/>
      <c r="P89" s="109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S59:T59"/>
    <mergeCell ref="D60:F64"/>
    <mergeCell ref="G60:I64"/>
    <mergeCell ref="J60:L64"/>
    <mergeCell ref="M60:O64"/>
    <mergeCell ref="P60:R64"/>
    <mergeCell ref="S60:T64"/>
    <mergeCell ref="D74:F76"/>
    <mergeCell ref="J74:L76"/>
    <mergeCell ref="M74:O76"/>
    <mergeCell ref="P74:R76"/>
    <mergeCell ref="J80:K80"/>
    <mergeCell ref="M80:N80"/>
    <mergeCell ref="P80:Q80"/>
    <mergeCell ref="J72:L72"/>
    <mergeCell ref="J95:L97"/>
    <mergeCell ref="M95:O97"/>
    <mergeCell ref="P95:R97"/>
    <mergeCell ref="D77:F79"/>
    <mergeCell ref="G77:I79"/>
    <mergeCell ref="J77:L79"/>
    <mergeCell ref="M77:O79"/>
    <mergeCell ref="P77:R79"/>
    <mergeCell ref="D80:E80"/>
    <mergeCell ref="G80:H80"/>
    <mergeCell ref="M102:O103"/>
    <mergeCell ref="P102:R103"/>
    <mergeCell ref="K104:L104"/>
    <mergeCell ref="D87:E87"/>
    <mergeCell ref="G87:H87"/>
    <mergeCell ref="J87:K87"/>
    <mergeCell ref="M87:N87"/>
    <mergeCell ref="P87:Q87"/>
    <mergeCell ref="D95:F97"/>
    <mergeCell ref="G95:I97"/>
    <mergeCell ref="K109:L109"/>
    <mergeCell ref="K110:L110"/>
    <mergeCell ref="D102:F103"/>
    <mergeCell ref="G102:I103"/>
    <mergeCell ref="J102:L103"/>
    <mergeCell ref="K105:L105"/>
    <mergeCell ref="K106:L106"/>
    <mergeCell ref="K107:L107"/>
    <mergeCell ref="K108:L108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2" sqref="Q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40972</v>
      </c>
      <c r="E1" s="155"/>
      <c r="F1" s="156"/>
      <c r="G1" s="16"/>
      <c r="H1" s="24">
        <v>40979</v>
      </c>
      <c r="I1" s="17"/>
      <c r="J1" s="30"/>
      <c r="K1" s="24">
        <v>40986</v>
      </c>
      <c r="L1" s="31"/>
      <c r="M1" s="16"/>
      <c r="N1" s="24">
        <v>40993</v>
      </c>
      <c r="O1" s="17"/>
      <c r="P1" s="16"/>
      <c r="Q1" s="24">
        <v>41001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'2012年2月'!U3</f>
        <v>109.2917</v>
      </c>
      <c r="D3" s="50"/>
      <c r="E3" s="51"/>
      <c r="F3" s="52">
        <f>-F55*D3</f>
        <v>0</v>
      </c>
      <c r="G3" s="50">
        <v>1</v>
      </c>
      <c r="H3" s="51">
        <v>300</v>
      </c>
      <c r="I3" s="52">
        <f>-300</f>
        <v>-300</v>
      </c>
      <c r="J3" s="50">
        <v>1</v>
      </c>
      <c r="K3" s="51"/>
      <c r="L3" s="52">
        <f>-13.333*J3</f>
        <v>-13.333</v>
      </c>
      <c r="M3" s="50">
        <v>1</v>
      </c>
      <c r="N3" s="51"/>
      <c r="O3" s="52">
        <v>0</v>
      </c>
      <c r="P3" s="90">
        <v>1</v>
      </c>
      <c r="Q3" s="99"/>
      <c r="R3" s="52">
        <f>-14.2857*P3</f>
        <v>-14.2857</v>
      </c>
      <c r="S3" s="50"/>
      <c r="T3" s="53"/>
      <c r="U3" s="77">
        <f aca="true" t="shared" si="0" ref="U3:U53">C3+E3+F3+H3+I3+K3+L3+N3+O3+T3+Q3+R3</f>
        <v>81.67299999999999</v>
      </c>
      <c r="W3" s="89"/>
    </row>
    <row r="4" spans="1:23" ht="12.75">
      <c r="A4" s="2">
        <v>2</v>
      </c>
      <c r="B4" s="76" t="s">
        <v>3</v>
      </c>
      <c r="C4" s="124">
        <f>'2012年2月'!U4</f>
        <v>60.781867492260055</v>
      </c>
      <c r="D4" s="50">
        <v>1</v>
      </c>
      <c r="E4" s="51"/>
      <c r="F4" s="52">
        <f>-F55*D4</f>
        <v>-14.285714285714286</v>
      </c>
      <c r="G4" s="50">
        <v>1</v>
      </c>
      <c r="H4" s="51"/>
      <c r="I4" s="52">
        <v>0</v>
      </c>
      <c r="J4" s="50">
        <v>1</v>
      </c>
      <c r="K4" s="51"/>
      <c r="L4" s="52">
        <f aca="true" t="shared" si="1" ref="L4:L53">-13.333*J4</f>
        <v>-13.333</v>
      </c>
      <c r="M4" s="50">
        <v>1</v>
      </c>
      <c r="N4" s="51"/>
      <c r="O4" s="52">
        <v>0</v>
      </c>
      <c r="P4" s="90"/>
      <c r="Q4" s="99"/>
      <c r="R4" s="52">
        <f aca="true" t="shared" si="2" ref="R4:R53">-14.2857*P4</f>
        <v>0</v>
      </c>
      <c r="S4" s="54"/>
      <c r="T4" s="53"/>
      <c r="U4" s="77">
        <f t="shared" si="0"/>
        <v>33.16315320654577</v>
      </c>
      <c r="W4" s="89"/>
    </row>
    <row r="5" spans="1:23" ht="12.75">
      <c r="A5" s="2">
        <v>3</v>
      </c>
      <c r="B5" s="78" t="s">
        <v>182</v>
      </c>
      <c r="C5" s="124">
        <f>'2012年2月'!U5</f>
        <v>25.4788</v>
      </c>
      <c r="D5" s="50"/>
      <c r="E5" s="51"/>
      <c r="F5" s="52">
        <f>-F55*D5</f>
        <v>0</v>
      </c>
      <c r="G5" s="50"/>
      <c r="H5" s="51"/>
      <c r="I5" s="52">
        <v>0</v>
      </c>
      <c r="J5" s="50"/>
      <c r="K5" s="51"/>
      <c r="L5" s="52">
        <f t="shared" si="1"/>
        <v>0</v>
      </c>
      <c r="M5" s="50"/>
      <c r="N5" s="51"/>
      <c r="O5" s="52">
        <v>0</v>
      </c>
      <c r="P5" s="90"/>
      <c r="Q5" s="99"/>
      <c r="R5" s="52">
        <f t="shared" si="2"/>
        <v>0</v>
      </c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127" t="s">
        <v>12</v>
      </c>
      <c r="C6" s="128">
        <f>'2012年2月'!U6</f>
        <v>68.40679999999999</v>
      </c>
      <c r="D6" s="60"/>
      <c r="E6" s="57"/>
      <c r="F6" s="58">
        <f>-F55*D6</f>
        <v>0</v>
      </c>
      <c r="G6" s="60"/>
      <c r="H6" s="57"/>
      <c r="I6" s="58">
        <v>0</v>
      </c>
      <c r="J6" s="60"/>
      <c r="K6" s="57"/>
      <c r="L6" s="58">
        <f t="shared" si="1"/>
        <v>0</v>
      </c>
      <c r="M6" s="60"/>
      <c r="N6" s="57"/>
      <c r="O6" s="58">
        <v>0</v>
      </c>
      <c r="P6" s="91"/>
      <c r="Q6" s="100"/>
      <c r="R6" s="58">
        <f t="shared" si="2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127" t="s">
        <v>45</v>
      </c>
      <c r="C7" s="128">
        <f>'2012年2月'!U7</f>
        <v>93.68172631578946</v>
      </c>
      <c r="D7" s="56">
        <v>1</v>
      </c>
      <c r="E7" s="57"/>
      <c r="F7" s="58">
        <f>-F55*D7</f>
        <v>-14.285714285714286</v>
      </c>
      <c r="G7" s="56">
        <v>1</v>
      </c>
      <c r="H7" s="57"/>
      <c r="I7" s="58">
        <v>0</v>
      </c>
      <c r="J7" s="56">
        <v>1</v>
      </c>
      <c r="K7" s="57"/>
      <c r="L7" s="58">
        <f t="shared" si="1"/>
        <v>-13.333</v>
      </c>
      <c r="M7" s="56">
        <v>1</v>
      </c>
      <c r="N7" s="57"/>
      <c r="O7" s="58">
        <v>0</v>
      </c>
      <c r="P7" s="92"/>
      <c r="Q7" s="101"/>
      <c r="R7" s="58">
        <f t="shared" si="2"/>
        <v>0</v>
      </c>
      <c r="S7" s="56"/>
      <c r="T7" s="59"/>
      <c r="U7" s="77">
        <f t="shared" si="0"/>
        <v>66.06301203007517</v>
      </c>
      <c r="W7" s="89"/>
    </row>
    <row r="8" spans="1:23" ht="12.75">
      <c r="A8" s="2">
        <v>6</v>
      </c>
      <c r="B8" s="127" t="s">
        <v>183</v>
      </c>
      <c r="C8" s="128">
        <f>'2012年2月'!U8</f>
        <v>-10.058373684210492</v>
      </c>
      <c r="D8" s="56">
        <v>1</v>
      </c>
      <c r="E8" s="57">
        <v>200</v>
      </c>
      <c r="F8" s="58">
        <f>-F55*D8</f>
        <v>-14.285714285714286</v>
      </c>
      <c r="G8" s="56">
        <v>1</v>
      </c>
      <c r="H8" s="57"/>
      <c r="I8" s="58">
        <v>0</v>
      </c>
      <c r="J8" s="56"/>
      <c r="K8" s="57"/>
      <c r="L8" s="58">
        <f t="shared" si="1"/>
        <v>0</v>
      </c>
      <c r="M8" s="56"/>
      <c r="N8" s="57"/>
      <c r="O8" s="58">
        <v>0</v>
      </c>
      <c r="P8" s="92"/>
      <c r="Q8" s="101"/>
      <c r="R8" s="58">
        <f t="shared" si="2"/>
        <v>0</v>
      </c>
      <c r="S8" s="60"/>
      <c r="T8" s="59"/>
      <c r="U8" s="77">
        <f t="shared" si="0"/>
        <v>175.65591203007523</v>
      </c>
      <c r="W8" s="89"/>
    </row>
    <row r="9" spans="1:23" ht="12.75">
      <c r="A9" s="2">
        <v>7</v>
      </c>
      <c r="B9" s="82" t="s">
        <v>384</v>
      </c>
      <c r="C9" s="71">
        <f>'2012年2月'!U9</f>
        <v>68.42102631578948</v>
      </c>
      <c r="D9" s="68"/>
      <c r="E9" s="69"/>
      <c r="F9" s="70">
        <f>-F55*D9</f>
        <v>0</v>
      </c>
      <c r="G9" s="68">
        <v>1</v>
      </c>
      <c r="H9" s="69"/>
      <c r="I9" s="70">
        <v>0</v>
      </c>
      <c r="J9" s="68">
        <v>1</v>
      </c>
      <c r="K9" s="69"/>
      <c r="L9" s="70">
        <f>-13.333*J9-10</f>
        <v>-23.333</v>
      </c>
      <c r="M9" s="68">
        <v>1</v>
      </c>
      <c r="N9" s="69"/>
      <c r="O9" s="70">
        <v>0</v>
      </c>
      <c r="P9" s="93">
        <v>1</v>
      </c>
      <c r="Q9" s="102"/>
      <c r="R9" s="70">
        <f t="shared" si="2"/>
        <v>-14.2857</v>
      </c>
      <c r="S9" s="68"/>
      <c r="T9" s="71"/>
      <c r="U9" s="77">
        <f t="shared" si="0"/>
        <v>30.80232631578948</v>
      </c>
      <c r="W9" s="89"/>
    </row>
    <row r="10" spans="1:23" ht="12.75">
      <c r="A10" s="2">
        <v>8</v>
      </c>
      <c r="B10" s="82" t="s">
        <v>47</v>
      </c>
      <c r="C10" s="71">
        <f>'2012年2月'!U10</f>
        <v>49.79596749226004</v>
      </c>
      <c r="D10" s="72">
        <v>1</v>
      </c>
      <c r="E10" s="69"/>
      <c r="F10" s="70">
        <f>-F55*D10</f>
        <v>-14.285714285714286</v>
      </c>
      <c r="G10" s="72">
        <v>1</v>
      </c>
      <c r="H10" s="69"/>
      <c r="I10" s="70">
        <v>0</v>
      </c>
      <c r="J10" s="72">
        <v>1</v>
      </c>
      <c r="K10" s="69"/>
      <c r="L10" s="70">
        <f t="shared" si="1"/>
        <v>-13.333</v>
      </c>
      <c r="M10" s="72">
        <v>1</v>
      </c>
      <c r="N10" s="69">
        <v>200</v>
      </c>
      <c r="O10" s="70">
        <v>0</v>
      </c>
      <c r="P10" s="94">
        <v>1</v>
      </c>
      <c r="Q10" s="103"/>
      <c r="R10" s="70">
        <f t="shared" si="2"/>
        <v>-14.2857</v>
      </c>
      <c r="S10" s="72"/>
      <c r="T10" s="71"/>
      <c r="U10" s="77">
        <f t="shared" si="0"/>
        <v>207.89155320654575</v>
      </c>
      <c r="W10" s="89"/>
    </row>
    <row r="11" spans="1:23" ht="12.75">
      <c r="A11" s="2">
        <v>9</v>
      </c>
      <c r="B11" s="82" t="s">
        <v>48</v>
      </c>
      <c r="C11" s="71">
        <f>'2012年2月'!U11</f>
        <v>-43.78</v>
      </c>
      <c r="D11" s="68"/>
      <c r="E11" s="69"/>
      <c r="F11" s="70">
        <f>-F55*D11</f>
        <v>0</v>
      </c>
      <c r="G11" s="68"/>
      <c r="H11" s="69"/>
      <c r="I11" s="70">
        <v>0</v>
      </c>
      <c r="J11" s="68"/>
      <c r="K11" s="69"/>
      <c r="L11" s="70">
        <f t="shared" si="1"/>
        <v>0</v>
      </c>
      <c r="M11" s="68"/>
      <c r="N11" s="69"/>
      <c r="O11" s="70">
        <v>0</v>
      </c>
      <c r="P11" s="93"/>
      <c r="Q11" s="102"/>
      <c r="R11" s="70">
        <f t="shared" si="2"/>
        <v>0</v>
      </c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129" t="s">
        <v>49</v>
      </c>
      <c r="C12" s="134">
        <f>'2012年2月'!U12</f>
        <v>149.62456749226004</v>
      </c>
      <c r="D12" s="62">
        <v>2</v>
      </c>
      <c r="E12" s="63"/>
      <c r="F12" s="64">
        <f>-F55*D12</f>
        <v>-28.571428571428573</v>
      </c>
      <c r="G12" s="62">
        <v>2</v>
      </c>
      <c r="H12" s="63"/>
      <c r="I12" s="64">
        <v>0</v>
      </c>
      <c r="J12" s="62">
        <v>2</v>
      </c>
      <c r="K12" s="63"/>
      <c r="L12" s="64">
        <f t="shared" si="1"/>
        <v>-26.666</v>
      </c>
      <c r="M12" s="62">
        <v>1</v>
      </c>
      <c r="N12" s="63">
        <v>200</v>
      </c>
      <c r="O12" s="64">
        <v>0</v>
      </c>
      <c r="P12" s="95">
        <v>2</v>
      </c>
      <c r="Q12" s="104"/>
      <c r="R12" s="64">
        <f t="shared" si="2"/>
        <v>-28.5714</v>
      </c>
      <c r="S12" s="62"/>
      <c r="T12" s="66"/>
      <c r="U12" s="77">
        <f t="shared" si="0"/>
        <v>265.8157389208315</v>
      </c>
      <c r="W12" s="89"/>
    </row>
    <row r="13" spans="1:23" ht="12.75">
      <c r="A13" s="2">
        <v>11</v>
      </c>
      <c r="B13" s="129" t="s">
        <v>373</v>
      </c>
      <c r="C13" s="134">
        <f>'2012年2月'!U13</f>
        <v>149.99994117647057</v>
      </c>
      <c r="D13" s="62">
        <v>1</v>
      </c>
      <c r="E13" s="63"/>
      <c r="F13" s="64">
        <f>-F55*D13</f>
        <v>-14.285714285714286</v>
      </c>
      <c r="G13" s="62">
        <v>1</v>
      </c>
      <c r="H13" s="63"/>
      <c r="I13" s="64">
        <v>0</v>
      </c>
      <c r="J13" s="62">
        <v>1</v>
      </c>
      <c r="K13" s="63"/>
      <c r="L13" s="64">
        <f t="shared" si="1"/>
        <v>-13.333</v>
      </c>
      <c r="M13" s="62">
        <v>1</v>
      </c>
      <c r="N13" s="116"/>
      <c r="O13" s="64">
        <v>0</v>
      </c>
      <c r="P13" s="95">
        <v>1</v>
      </c>
      <c r="Q13" s="104"/>
      <c r="R13" s="64">
        <f t="shared" si="2"/>
        <v>-14.2857</v>
      </c>
      <c r="S13" s="65"/>
      <c r="T13" s="66"/>
      <c r="U13" s="77">
        <f t="shared" si="0"/>
        <v>108.09552689075629</v>
      </c>
      <c r="W13" s="89"/>
    </row>
    <row r="14" spans="1:23" ht="12.75">
      <c r="A14" s="2">
        <v>12</v>
      </c>
      <c r="B14" s="129" t="s">
        <v>14</v>
      </c>
      <c r="C14" s="134">
        <f>'2012年2月'!U14</f>
        <v>49.376500000000014</v>
      </c>
      <c r="D14" s="62"/>
      <c r="E14" s="63"/>
      <c r="F14" s="64">
        <f>-F55*D14</f>
        <v>0</v>
      </c>
      <c r="G14" s="62"/>
      <c r="H14" s="63"/>
      <c r="I14" s="64">
        <v>0</v>
      </c>
      <c r="J14" s="62"/>
      <c r="K14" s="63"/>
      <c r="L14" s="64">
        <f t="shared" si="1"/>
        <v>0</v>
      </c>
      <c r="M14" s="62"/>
      <c r="N14" s="63"/>
      <c r="O14" s="64">
        <v>0</v>
      </c>
      <c r="P14" s="95"/>
      <c r="Q14" s="104"/>
      <c r="R14" s="64">
        <f t="shared" si="2"/>
        <v>0</v>
      </c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130" t="s">
        <v>15</v>
      </c>
      <c r="C15" s="135">
        <f>'2012年2月'!U15</f>
        <v>54.84809999999997</v>
      </c>
      <c r="D15" s="44">
        <v>1</v>
      </c>
      <c r="E15" s="45"/>
      <c r="F15" s="46">
        <f>-F55*D15</f>
        <v>-14.285714285714286</v>
      </c>
      <c r="G15" s="44"/>
      <c r="H15" s="45"/>
      <c r="I15" s="46">
        <v>0</v>
      </c>
      <c r="J15" s="44"/>
      <c r="K15" s="45"/>
      <c r="L15" s="46">
        <f t="shared" si="1"/>
        <v>0</v>
      </c>
      <c r="M15" s="44"/>
      <c r="N15" s="45"/>
      <c r="O15" s="46">
        <v>0</v>
      </c>
      <c r="P15" s="96"/>
      <c r="Q15" s="105"/>
      <c r="R15" s="46">
        <f t="shared" si="2"/>
        <v>0</v>
      </c>
      <c r="S15" s="48"/>
      <c r="T15" s="47"/>
      <c r="U15" s="77">
        <f t="shared" si="0"/>
        <v>40.56238571428568</v>
      </c>
      <c r="W15" s="89"/>
    </row>
    <row r="16" spans="1:23" ht="12.75">
      <c r="A16" s="2">
        <v>14</v>
      </c>
      <c r="B16" s="130" t="s">
        <v>50</v>
      </c>
      <c r="C16" s="135">
        <f>'2012年2月'!U16</f>
        <v>74.64656749226003</v>
      </c>
      <c r="D16" s="44">
        <v>1</v>
      </c>
      <c r="E16" s="45"/>
      <c r="F16" s="46">
        <f>-F55*D16</f>
        <v>-14.285714285714286</v>
      </c>
      <c r="G16" s="44">
        <v>1</v>
      </c>
      <c r="H16" s="45"/>
      <c r="I16" s="46">
        <v>0</v>
      </c>
      <c r="J16" s="44">
        <v>1</v>
      </c>
      <c r="K16" s="45"/>
      <c r="L16" s="46">
        <f t="shared" si="1"/>
        <v>-13.333</v>
      </c>
      <c r="M16" s="44">
        <v>1</v>
      </c>
      <c r="N16" s="45"/>
      <c r="O16" s="46">
        <v>0</v>
      </c>
      <c r="P16" s="96">
        <v>1</v>
      </c>
      <c r="Q16" s="105"/>
      <c r="R16" s="46">
        <f t="shared" si="2"/>
        <v>-14.2857</v>
      </c>
      <c r="S16" s="44"/>
      <c r="T16" s="47"/>
      <c r="U16" s="77">
        <f t="shared" si="0"/>
        <v>32.74215320654575</v>
      </c>
      <c r="W16" s="89"/>
    </row>
    <row r="17" spans="1:23" ht="12.75">
      <c r="A17" s="2">
        <v>15</v>
      </c>
      <c r="B17" s="130" t="s">
        <v>184</v>
      </c>
      <c r="C17" s="135">
        <f>'2012年2月'!U17</f>
        <v>22.374900000000004</v>
      </c>
      <c r="D17" s="44"/>
      <c r="E17" s="45"/>
      <c r="F17" s="46">
        <f>-F55*D17</f>
        <v>0</v>
      </c>
      <c r="G17" s="44"/>
      <c r="H17" s="45"/>
      <c r="I17" s="46">
        <v>0</v>
      </c>
      <c r="J17" s="44"/>
      <c r="K17" s="45"/>
      <c r="L17" s="46">
        <f t="shared" si="1"/>
        <v>0</v>
      </c>
      <c r="M17" s="44">
        <v>1</v>
      </c>
      <c r="N17" s="45"/>
      <c r="O17" s="46">
        <v>0</v>
      </c>
      <c r="P17" s="96"/>
      <c r="Q17" s="105"/>
      <c r="R17" s="46">
        <f t="shared" si="2"/>
        <v>0</v>
      </c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131" t="s">
        <v>51</v>
      </c>
      <c r="C18" s="136">
        <f>'2012年2月'!U18</f>
        <v>5.998826315789453</v>
      </c>
      <c r="D18" s="50">
        <v>1</v>
      </c>
      <c r="E18" s="51"/>
      <c r="F18" s="52">
        <f>-F55*D18</f>
        <v>-14.285714285714286</v>
      </c>
      <c r="G18" s="50"/>
      <c r="H18" s="51"/>
      <c r="I18" s="52">
        <v>0</v>
      </c>
      <c r="J18" s="50"/>
      <c r="K18" s="51"/>
      <c r="L18" s="52">
        <f t="shared" si="1"/>
        <v>0</v>
      </c>
      <c r="M18" s="50"/>
      <c r="N18" s="51"/>
      <c r="O18" s="52">
        <v>0</v>
      </c>
      <c r="P18" s="90">
        <v>1</v>
      </c>
      <c r="Q18" s="99"/>
      <c r="R18" s="52">
        <f t="shared" si="2"/>
        <v>-14.2857</v>
      </c>
      <c r="S18" s="50"/>
      <c r="T18" s="53"/>
      <c r="U18" s="77">
        <f t="shared" si="0"/>
        <v>-22.572587969924832</v>
      </c>
      <c r="W18" s="89"/>
    </row>
    <row r="19" spans="1:23" ht="12.75">
      <c r="A19" s="2">
        <v>17</v>
      </c>
      <c r="B19" s="131" t="s">
        <v>67</v>
      </c>
      <c r="C19" s="136">
        <f>'2012年2月'!U19</f>
        <v>-17.061732507739954</v>
      </c>
      <c r="D19" s="50"/>
      <c r="E19" s="51"/>
      <c r="F19" s="52">
        <f>-F55*D19</f>
        <v>0</v>
      </c>
      <c r="G19" s="50"/>
      <c r="H19" s="51"/>
      <c r="I19" s="52">
        <v>0</v>
      </c>
      <c r="J19" s="50">
        <v>1</v>
      </c>
      <c r="K19" s="51">
        <v>100</v>
      </c>
      <c r="L19" s="52">
        <f t="shared" si="1"/>
        <v>-13.333</v>
      </c>
      <c r="M19" s="50">
        <v>1</v>
      </c>
      <c r="N19" s="51"/>
      <c r="O19" s="52">
        <v>0</v>
      </c>
      <c r="P19" s="90"/>
      <c r="Q19" s="99"/>
      <c r="R19" s="52">
        <f t="shared" si="2"/>
        <v>0</v>
      </c>
      <c r="S19" s="54"/>
      <c r="T19" s="53"/>
      <c r="U19" s="77">
        <f t="shared" si="0"/>
        <v>69.60526749226005</v>
      </c>
      <c r="W19" s="89"/>
    </row>
    <row r="20" spans="1:23" ht="12.75">
      <c r="A20" s="2">
        <v>18</v>
      </c>
      <c r="B20" s="131" t="s">
        <v>16</v>
      </c>
      <c r="C20" s="136">
        <f>'2012年2月'!U20</f>
        <v>12.128600000000004</v>
      </c>
      <c r="D20" s="50"/>
      <c r="E20" s="51"/>
      <c r="F20" s="52">
        <f>-F55*D20</f>
        <v>0</v>
      </c>
      <c r="G20" s="50"/>
      <c r="H20" s="51"/>
      <c r="I20" s="52">
        <v>0</v>
      </c>
      <c r="J20" s="50"/>
      <c r="K20" s="51"/>
      <c r="L20" s="52">
        <f t="shared" si="1"/>
        <v>0</v>
      </c>
      <c r="M20" s="50">
        <v>1</v>
      </c>
      <c r="N20" s="51">
        <v>100</v>
      </c>
      <c r="O20" s="52">
        <v>0</v>
      </c>
      <c r="P20" s="90"/>
      <c r="Q20" s="99"/>
      <c r="R20" s="52">
        <f t="shared" si="2"/>
        <v>0</v>
      </c>
      <c r="S20" s="50"/>
      <c r="T20" s="53"/>
      <c r="U20" s="77">
        <f t="shared" si="0"/>
        <v>112.1286</v>
      </c>
      <c r="W20" s="89"/>
    </row>
    <row r="21" spans="1:23" ht="12.75">
      <c r="A21" s="2">
        <v>19</v>
      </c>
      <c r="B21" s="127" t="s">
        <v>52</v>
      </c>
      <c r="C21" s="137">
        <f>'2012年2月'!U21</f>
        <v>30.289441176470568</v>
      </c>
      <c r="D21" s="56"/>
      <c r="E21" s="57"/>
      <c r="F21" s="58">
        <f>-F55*D21</f>
        <v>0</v>
      </c>
      <c r="G21" s="56">
        <v>1</v>
      </c>
      <c r="H21" s="57"/>
      <c r="I21" s="58">
        <v>0</v>
      </c>
      <c r="J21" s="56">
        <v>1</v>
      </c>
      <c r="K21" s="57"/>
      <c r="L21" s="58">
        <f t="shared" si="1"/>
        <v>-13.333</v>
      </c>
      <c r="M21" s="56">
        <v>1</v>
      </c>
      <c r="N21" s="57"/>
      <c r="O21" s="58">
        <v>0</v>
      </c>
      <c r="P21" s="92">
        <v>1</v>
      </c>
      <c r="Q21" s="101">
        <v>100</v>
      </c>
      <c r="R21" s="58">
        <f t="shared" si="2"/>
        <v>-14.2857</v>
      </c>
      <c r="S21" s="60"/>
      <c r="T21" s="59"/>
      <c r="U21" s="77">
        <f t="shared" si="0"/>
        <v>102.67074117647057</v>
      </c>
      <c r="W21" s="89"/>
    </row>
    <row r="22" spans="1:23" ht="12.75">
      <c r="A22" s="2">
        <v>20</v>
      </c>
      <c r="B22" s="127" t="s">
        <v>204</v>
      </c>
      <c r="C22" s="137">
        <f>'2012年2月'!U22</f>
        <v>45.413026315789516</v>
      </c>
      <c r="D22" s="56">
        <v>1</v>
      </c>
      <c r="E22" s="57"/>
      <c r="F22" s="58">
        <f>-F55*D22</f>
        <v>-14.285714285714286</v>
      </c>
      <c r="G22" s="56"/>
      <c r="H22" s="57"/>
      <c r="I22" s="58">
        <v>0</v>
      </c>
      <c r="J22" s="56"/>
      <c r="K22" s="57"/>
      <c r="L22" s="58">
        <f t="shared" si="1"/>
        <v>0</v>
      </c>
      <c r="M22" s="56"/>
      <c r="N22" s="57"/>
      <c r="O22" s="58">
        <v>0</v>
      </c>
      <c r="P22" s="92"/>
      <c r="Q22" s="101"/>
      <c r="R22" s="58">
        <f t="shared" si="2"/>
        <v>0</v>
      </c>
      <c r="S22" s="56"/>
      <c r="T22" s="59"/>
      <c r="U22" s="77">
        <f t="shared" si="0"/>
        <v>31.12731203007523</v>
      </c>
      <c r="W22" s="89"/>
    </row>
    <row r="23" spans="1:23" ht="12.75">
      <c r="A23" s="2">
        <v>21</v>
      </c>
      <c r="B23" s="127" t="s">
        <v>17</v>
      </c>
      <c r="C23" s="137">
        <f>'2012年2月'!U23</f>
        <v>50.3991</v>
      </c>
      <c r="D23" s="56"/>
      <c r="E23" s="57"/>
      <c r="F23" s="58">
        <f>-F55*D23</f>
        <v>0</v>
      </c>
      <c r="G23" s="56"/>
      <c r="H23" s="57"/>
      <c r="I23" s="58">
        <v>0</v>
      </c>
      <c r="J23" s="56"/>
      <c r="K23" s="57"/>
      <c r="L23" s="58">
        <f t="shared" si="1"/>
        <v>0</v>
      </c>
      <c r="M23" s="56"/>
      <c r="N23" s="57"/>
      <c r="O23" s="58">
        <v>0</v>
      </c>
      <c r="P23" s="92"/>
      <c r="Q23" s="101"/>
      <c r="R23" s="58">
        <f t="shared" si="2"/>
        <v>0</v>
      </c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132" t="s">
        <v>18</v>
      </c>
      <c r="C24" s="71">
        <f>'2012年2月'!U24</f>
        <v>92.87256749226003</v>
      </c>
      <c r="D24" s="68">
        <v>1</v>
      </c>
      <c r="E24" s="69"/>
      <c r="F24" s="70">
        <f>-F55*D24</f>
        <v>-14.285714285714286</v>
      </c>
      <c r="G24" s="68">
        <v>1</v>
      </c>
      <c r="H24" s="69"/>
      <c r="I24" s="70">
        <v>0</v>
      </c>
      <c r="J24" s="68">
        <v>1</v>
      </c>
      <c r="K24" s="69"/>
      <c r="L24" s="70">
        <f t="shared" si="1"/>
        <v>-13.333</v>
      </c>
      <c r="M24" s="68">
        <v>1</v>
      </c>
      <c r="N24" s="69"/>
      <c r="O24" s="70">
        <v>0</v>
      </c>
      <c r="P24" s="93"/>
      <c r="Q24" s="102"/>
      <c r="R24" s="70">
        <f t="shared" si="2"/>
        <v>0</v>
      </c>
      <c r="S24" s="68"/>
      <c r="T24" s="71"/>
      <c r="U24" s="77">
        <f t="shared" si="0"/>
        <v>65.25385320654574</v>
      </c>
      <c r="W24" s="89"/>
    </row>
    <row r="25" spans="1:23" ht="12.75">
      <c r="A25" s="2">
        <v>23</v>
      </c>
      <c r="B25" s="132" t="s">
        <v>19</v>
      </c>
      <c r="C25" s="71">
        <f>'2012年2月'!U25</f>
        <v>132.49566749226008</v>
      </c>
      <c r="D25" s="68">
        <v>1</v>
      </c>
      <c r="E25" s="69"/>
      <c r="F25" s="70">
        <f>-F55*D25</f>
        <v>-14.285714285714286</v>
      </c>
      <c r="G25" s="68">
        <v>1</v>
      </c>
      <c r="H25" s="69"/>
      <c r="I25" s="70">
        <v>0</v>
      </c>
      <c r="J25" s="68">
        <v>1</v>
      </c>
      <c r="K25" s="69"/>
      <c r="L25" s="70">
        <f t="shared" si="1"/>
        <v>-13.333</v>
      </c>
      <c r="M25" s="68">
        <v>1</v>
      </c>
      <c r="N25" s="69"/>
      <c r="O25" s="70">
        <v>0</v>
      </c>
      <c r="P25" s="93">
        <v>1</v>
      </c>
      <c r="Q25" s="102"/>
      <c r="R25" s="70">
        <f t="shared" si="2"/>
        <v>-14.2857</v>
      </c>
      <c r="S25" s="68"/>
      <c r="T25" s="71"/>
      <c r="U25" s="77">
        <f t="shared" si="0"/>
        <v>90.59125320654579</v>
      </c>
      <c r="W25" s="89"/>
    </row>
    <row r="26" spans="1:23" ht="12.75">
      <c r="A26" s="2">
        <v>24</v>
      </c>
      <c r="B26" s="132" t="s">
        <v>20</v>
      </c>
      <c r="C26" s="71">
        <f>'2012年2月'!U26</f>
        <v>200.16736749226</v>
      </c>
      <c r="D26" s="68">
        <v>1</v>
      </c>
      <c r="E26" s="69"/>
      <c r="F26" s="70">
        <f>-F55*D26</f>
        <v>-14.285714285714286</v>
      </c>
      <c r="G26" s="68">
        <v>1</v>
      </c>
      <c r="H26" s="69"/>
      <c r="I26" s="70">
        <v>0</v>
      </c>
      <c r="J26" s="68"/>
      <c r="K26" s="69"/>
      <c r="L26" s="70">
        <f t="shared" si="1"/>
        <v>0</v>
      </c>
      <c r="M26" s="68">
        <v>1</v>
      </c>
      <c r="N26" s="69"/>
      <c r="O26" s="70">
        <v>0</v>
      </c>
      <c r="P26" s="93">
        <v>1</v>
      </c>
      <c r="Q26" s="102"/>
      <c r="R26" s="70">
        <f t="shared" si="2"/>
        <v>-14.2857</v>
      </c>
      <c r="S26" s="72"/>
      <c r="T26" s="71"/>
      <c r="U26" s="77">
        <f t="shared" si="0"/>
        <v>171.59595320654574</v>
      </c>
      <c r="W26" s="89"/>
    </row>
    <row r="27" spans="1:23" ht="12.75">
      <c r="A27" s="2">
        <v>25</v>
      </c>
      <c r="B27" s="129" t="s">
        <v>379</v>
      </c>
      <c r="C27" s="134">
        <f>'2012年2月'!U27</f>
        <v>1.0658141036401503E-14</v>
      </c>
      <c r="D27" s="62"/>
      <c r="E27" s="74"/>
      <c r="F27" s="64">
        <f>-F55*D27</f>
        <v>0</v>
      </c>
      <c r="G27" s="62">
        <v>1</v>
      </c>
      <c r="H27" s="74">
        <v>200</v>
      </c>
      <c r="I27" s="64">
        <v>0</v>
      </c>
      <c r="J27" s="62">
        <v>1</v>
      </c>
      <c r="K27" s="74"/>
      <c r="L27" s="64">
        <f>-13.333*J27-10</f>
        <v>-23.333</v>
      </c>
      <c r="M27" s="62">
        <v>1</v>
      </c>
      <c r="N27" s="74"/>
      <c r="O27" s="64">
        <v>0</v>
      </c>
      <c r="P27" s="95">
        <v>1</v>
      </c>
      <c r="Q27" s="104"/>
      <c r="R27" s="64">
        <f t="shared" si="2"/>
        <v>-14.2857</v>
      </c>
      <c r="S27" s="62"/>
      <c r="T27" s="66"/>
      <c r="U27" s="77">
        <f t="shared" si="0"/>
        <v>162.3813</v>
      </c>
      <c r="W27" s="89"/>
    </row>
    <row r="28" spans="1:23" ht="12.75">
      <c r="A28" s="2">
        <v>26</v>
      </c>
      <c r="B28" s="129" t="s">
        <v>21</v>
      </c>
      <c r="C28" s="134">
        <f>'2012年2月'!U28</f>
        <v>-85.9432</v>
      </c>
      <c r="D28" s="65"/>
      <c r="E28" s="74"/>
      <c r="F28" s="64">
        <f>-F55*D28</f>
        <v>0</v>
      </c>
      <c r="G28" s="65"/>
      <c r="H28" s="74"/>
      <c r="I28" s="64">
        <v>0</v>
      </c>
      <c r="J28" s="65"/>
      <c r="K28" s="74"/>
      <c r="L28" s="64">
        <f t="shared" si="1"/>
        <v>0</v>
      </c>
      <c r="M28" s="65">
        <v>1</v>
      </c>
      <c r="N28" s="74">
        <v>100</v>
      </c>
      <c r="O28" s="64">
        <v>0</v>
      </c>
      <c r="P28" s="97">
        <v>1</v>
      </c>
      <c r="Q28" s="106"/>
      <c r="R28" s="64">
        <f t="shared" si="2"/>
        <v>-14.2857</v>
      </c>
      <c r="S28" s="65"/>
      <c r="T28" s="66"/>
      <c r="U28" s="77">
        <f t="shared" si="0"/>
        <v>-0.22890000000000477</v>
      </c>
      <c r="W28" s="89"/>
    </row>
    <row r="29" spans="1:23" ht="12.75">
      <c r="A29" s="2">
        <v>27</v>
      </c>
      <c r="B29" s="129"/>
      <c r="C29" s="134">
        <f>'2012年2月'!U29</f>
        <v>0</v>
      </c>
      <c r="D29" s="62"/>
      <c r="E29" s="63"/>
      <c r="F29" s="64">
        <f>-F55*D29</f>
        <v>0</v>
      </c>
      <c r="G29" s="62"/>
      <c r="H29" s="63"/>
      <c r="I29" s="64">
        <v>0</v>
      </c>
      <c r="J29" s="62"/>
      <c r="K29" s="63"/>
      <c r="L29" s="64">
        <f t="shared" si="1"/>
        <v>0</v>
      </c>
      <c r="M29" s="62"/>
      <c r="N29" s="63"/>
      <c r="O29" s="64">
        <v>0</v>
      </c>
      <c r="P29" s="95"/>
      <c r="Q29" s="104"/>
      <c r="R29" s="64">
        <f t="shared" si="2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5">
        <f>'2012年2月'!U30</f>
        <v>-50.53079999999999</v>
      </c>
      <c r="D30" s="48"/>
      <c r="E30" s="75"/>
      <c r="F30" s="46">
        <f>-F55*D30</f>
        <v>0</v>
      </c>
      <c r="G30" s="48"/>
      <c r="H30" s="75"/>
      <c r="I30" s="46">
        <v>0</v>
      </c>
      <c r="J30" s="48"/>
      <c r="K30" s="75"/>
      <c r="L30" s="46">
        <f t="shared" si="1"/>
        <v>0</v>
      </c>
      <c r="M30" s="48"/>
      <c r="N30" s="75"/>
      <c r="O30" s="46">
        <v>0</v>
      </c>
      <c r="P30" s="98"/>
      <c r="Q30" s="107"/>
      <c r="R30" s="46">
        <f t="shared" si="2"/>
        <v>0</v>
      </c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130"/>
      <c r="C31" s="135">
        <f>'2012年2月'!U31</f>
        <v>0</v>
      </c>
      <c r="D31" s="44"/>
      <c r="E31" s="75"/>
      <c r="F31" s="46">
        <f>-F55*D31</f>
        <v>0</v>
      </c>
      <c r="G31" s="44"/>
      <c r="H31" s="75"/>
      <c r="I31" s="46">
        <v>0</v>
      </c>
      <c r="J31" s="44"/>
      <c r="K31" s="75"/>
      <c r="L31" s="46">
        <f t="shared" si="1"/>
        <v>0</v>
      </c>
      <c r="M31" s="44"/>
      <c r="N31" s="75"/>
      <c r="O31" s="46">
        <v>0</v>
      </c>
      <c r="P31" s="96"/>
      <c r="Q31" s="105"/>
      <c r="R31" s="46">
        <f t="shared" si="2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5">
        <f>'2012年2月'!U32</f>
        <v>89.61882631578948</v>
      </c>
      <c r="D32" s="48"/>
      <c r="E32" s="75"/>
      <c r="F32" s="46">
        <f>-F55*D32</f>
        <v>0</v>
      </c>
      <c r="G32" s="48"/>
      <c r="H32" s="75"/>
      <c r="I32" s="46">
        <v>0</v>
      </c>
      <c r="J32" s="48"/>
      <c r="K32" s="75"/>
      <c r="L32" s="46">
        <f t="shared" si="1"/>
        <v>0</v>
      </c>
      <c r="M32" s="48">
        <v>1</v>
      </c>
      <c r="N32" s="75"/>
      <c r="O32" s="46">
        <v>0</v>
      </c>
      <c r="P32" s="98"/>
      <c r="Q32" s="107"/>
      <c r="R32" s="46">
        <f t="shared" si="2"/>
        <v>0</v>
      </c>
      <c r="S32" s="48"/>
      <c r="T32" s="47"/>
      <c r="U32" s="77">
        <f t="shared" si="0"/>
        <v>89.61882631578948</v>
      </c>
      <c r="W32" s="89"/>
    </row>
    <row r="33" spans="1:23" ht="12.75">
      <c r="A33" s="2">
        <v>31</v>
      </c>
      <c r="B33" s="131" t="s">
        <v>25</v>
      </c>
      <c r="C33" s="136">
        <f>'2012年2月'!U33</f>
        <v>133.69979999999998</v>
      </c>
      <c r="D33" s="50">
        <v>1</v>
      </c>
      <c r="E33" s="51"/>
      <c r="F33" s="52">
        <f>-F55*D33</f>
        <v>-14.285714285714286</v>
      </c>
      <c r="G33" s="50">
        <v>1</v>
      </c>
      <c r="H33" s="51"/>
      <c r="I33" s="52">
        <v>0</v>
      </c>
      <c r="J33" s="50">
        <v>1</v>
      </c>
      <c r="K33" s="51"/>
      <c r="L33" s="52">
        <f t="shared" si="1"/>
        <v>-13.333</v>
      </c>
      <c r="M33" s="50">
        <v>1</v>
      </c>
      <c r="N33" s="51"/>
      <c r="O33" s="52">
        <v>0</v>
      </c>
      <c r="P33" s="90">
        <v>1</v>
      </c>
      <c r="Q33" s="99"/>
      <c r="R33" s="52">
        <f t="shared" si="2"/>
        <v>-14.2857</v>
      </c>
      <c r="S33" s="50"/>
      <c r="T33" s="53"/>
      <c r="U33" s="77">
        <f t="shared" si="0"/>
        <v>91.79538571428569</v>
      </c>
      <c r="W33" s="89"/>
    </row>
    <row r="34" spans="1:23" ht="12.75">
      <c r="A34" s="2">
        <v>32</v>
      </c>
      <c r="B34" s="131" t="s">
        <v>55</v>
      </c>
      <c r="C34" s="136">
        <f>'2012年2月'!U34</f>
        <v>406.11656749226006</v>
      </c>
      <c r="D34" s="88">
        <v>1</v>
      </c>
      <c r="E34" s="51"/>
      <c r="F34" s="52">
        <f>-F55*D34</f>
        <v>-14.285714285714286</v>
      </c>
      <c r="G34" s="88">
        <v>1</v>
      </c>
      <c r="H34" s="51"/>
      <c r="I34" s="52">
        <v>0</v>
      </c>
      <c r="J34" s="88">
        <v>1</v>
      </c>
      <c r="K34" s="51"/>
      <c r="L34" s="52">
        <f t="shared" si="1"/>
        <v>-13.333</v>
      </c>
      <c r="M34" s="50">
        <v>1</v>
      </c>
      <c r="N34" s="51"/>
      <c r="O34" s="52">
        <v>0</v>
      </c>
      <c r="P34" s="90">
        <v>1</v>
      </c>
      <c r="Q34" s="99"/>
      <c r="R34" s="52">
        <f t="shared" si="2"/>
        <v>-14.2857</v>
      </c>
      <c r="S34" s="54"/>
      <c r="T34" s="53"/>
      <c r="U34" s="77">
        <f t="shared" si="0"/>
        <v>364.21215320654574</v>
      </c>
      <c r="W34" s="89"/>
    </row>
    <row r="35" spans="1:23" ht="12.75">
      <c r="A35" s="2">
        <v>33</v>
      </c>
      <c r="B35" s="131" t="s">
        <v>26</v>
      </c>
      <c r="C35" s="136">
        <f>'2012年2月'!U35</f>
        <v>121.30766749226001</v>
      </c>
      <c r="D35" s="50"/>
      <c r="E35" s="51"/>
      <c r="F35" s="52">
        <f>-F55*D35</f>
        <v>0</v>
      </c>
      <c r="G35" s="50">
        <v>1</v>
      </c>
      <c r="H35" s="51"/>
      <c r="I35" s="52">
        <v>0</v>
      </c>
      <c r="J35" s="50"/>
      <c r="K35" s="51"/>
      <c r="L35" s="52">
        <f t="shared" si="1"/>
        <v>0</v>
      </c>
      <c r="M35" s="50">
        <v>1</v>
      </c>
      <c r="N35" s="51">
        <v>300</v>
      </c>
      <c r="O35" s="52">
        <v>-300</v>
      </c>
      <c r="P35" s="90">
        <v>1</v>
      </c>
      <c r="Q35" s="99"/>
      <c r="R35" s="52">
        <f t="shared" si="2"/>
        <v>-14.2857</v>
      </c>
      <c r="S35" s="50"/>
      <c r="T35" s="53"/>
      <c r="U35" s="77">
        <f t="shared" si="0"/>
        <v>107.02196749226</v>
      </c>
      <c r="W35" s="89"/>
    </row>
    <row r="36" spans="1:23" ht="12.75">
      <c r="A36" s="2">
        <v>34</v>
      </c>
      <c r="B36" s="127"/>
      <c r="C36" s="137">
        <f>'2012年2月'!U36</f>
        <v>0</v>
      </c>
      <c r="D36" s="56"/>
      <c r="E36" s="57"/>
      <c r="F36" s="58">
        <f>-F55*D36</f>
        <v>0</v>
      </c>
      <c r="G36" s="56"/>
      <c r="H36" s="57"/>
      <c r="I36" s="58">
        <v>0</v>
      </c>
      <c r="J36" s="56"/>
      <c r="K36" s="57"/>
      <c r="L36" s="58">
        <f t="shared" si="1"/>
        <v>0</v>
      </c>
      <c r="M36" s="56"/>
      <c r="N36" s="57"/>
      <c r="O36" s="58">
        <v>0</v>
      </c>
      <c r="P36" s="92"/>
      <c r="Q36" s="101"/>
      <c r="R36" s="58">
        <f t="shared" si="2"/>
        <v>0</v>
      </c>
      <c r="S36" s="60"/>
      <c r="T36" s="59"/>
      <c r="U36" s="77">
        <f t="shared" si="0"/>
        <v>0</v>
      </c>
      <c r="W36" s="89"/>
    </row>
    <row r="37" spans="1:23" ht="12.75">
      <c r="A37" s="2">
        <v>35</v>
      </c>
      <c r="B37" s="127" t="s">
        <v>27</v>
      </c>
      <c r="C37" s="137">
        <f>'2012年2月'!U37</f>
        <v>451.92126749226014</v>
      </c>
      <c r="D37" s="56">
        <v>1</v>
      </c>
      <c r="E37" s="57"/>
      <c r="F37" s="58">
        <f>-F55*D37</f>
        <v>-14.285714285714286</v>
      </c>
      <c r="G37" s="56">
        <v>1</v>
      </c>
      <c r="H37" s="57"/>
      <c r="I37" s="58">
        <v>0</v>
      </c>
      <c r="J37" s="56">
        <v>1</v>
      </c>
      <c r="K37" s="57"/>
      <c r="L37" s="58">
        <f t="shared" si="1"/>
        <v>-13.333</v>
      </c>
      <c r="M37" s="56">
        <v>1</v>
      </c>
      <c r="N37" s="57"/>
      <c r="O37" s="58">
        <v>0</v>
      </c>
      <c r="P37" s="92">
        <v>1</v>
      </c>
      <c r="Q37" s="101"/>
      <c r="R37" s="58">
        <f t="shared" si="2"/>
        <v>-14.2857</v>
      </c>
      <c r="S37" s="56"/>
      <c r="T37" s="59"/>
      <c r="U37" s="77">
        <f t="shared" si="0"/>
        <v>410.0168532065458</v>
      </c>
      <c r="V37" s="28"/>
      <c r="W37" s="89"/>
    </row>
    <row r="38" spans="1:23" ht="12.75">
      <c r="A38" s="2">
        <v>36</v>
      </c>
      <c r="B38" s="127" t="s">
        <v>28</v>
      </c>
      <c r="C38" s="137">
        <f>'2012年2月'!U38</f>
        <v>-66.96633250773993</v>
      </c>
      <c r="D38" s="56">
        <v>1</v>
      </c>
      <c r="E38" s="57"/>
      <c r="F38" s="58">
        <f>-F55*D38</f>
        <v>-14.285714285714286</v>
      </c>
      <c r="G38" s="56">
        <v>1</v>
      </c>
      <c r="H38" s="57"/>
      <c r="I38" s="58">
        <v>0</v>
      </c>
      <c r="J38" s="56">
        <v>1</v>
      </c>
      <c r="K38" s="57">
        <v>100</v>
      </c>
      <c r="L38" s="58">
        <f t="shared" si="1"/>
        <v>-13.333</v>
      </c>
      <c r="M38" s="56">
        <v>1</v>
      </c>
      <c r="N38" s="57"/>
      <c r="O38" s="58">
        <v>0</v>
      </c>
      <c r="P38" s="92">
        <v>1</v>
      </c>
      <c r="Q38" s="101"/>
      <c r="R38" s="58">
        <f t="shared" si="2"/>
        <v>-14.2857</v>
      </c>
      <c r="S38" s="60"/>
      <c r="T38" s="59"/>
      <c r="U38" s="77">
        <f t="shared" si="0"/>
        <v>-8.870746793454227</v>
      </c>
      <c r="W38" s="89"/>
    </row>
    <row r="39" spans="1:23" ht="12.75">
      <c r="A39" s="2">
        <v>37</v>
      </c>
      <c r="B39" s="132"/>
      <c r="C39" s="71">
        <f>'2012年2月'!U39</f>
        <v>0</v>
      </c>
      <c r="D39" s="68"/>
      <c r="E39" s="69"/>
      <c r="F39" s="70">
        <f>-F55*D39</f>
        <v>0</v>
      </c>
      <c r="G39" s="68"/>
      <c r="H39" s="69"/>
      <c r="I39" s="70">
        <v>0</v>
      </c>
      <c r="J39" s="68"/>
      <c r="K39" s="69"/>
      <c r="L39" s="70">
        <f t="shared" si="1"/>
        <v>0</v>
      </c>
      <c r="M39" s="68"/>
      <c r="N39" s="69"/>
      <c r="O39" s="70">
        <v>0</v>
      </c>
      <c r="P39" s="93"/>
      <c r="Q39" s="102"/>
      <c r="R39" s="70">
        <f t="shared" si="2"/>
        <v>0</v>
      </c>
      <c r="S39" s="68"/>
      <c r="T39" s="71"/>
      <c r="U39" s="77">
        <f t="shared" si="0"/>
        <v>0</v>
      </c>
      <c r="W39" s="89"/>
    </row>
    <row r="40" spans="1:23" ht="12.75">
      <c r="A40" s="2">
        <v>38</v>
      </c>
      <c r="B40" s="132"/>
      <c r="C40" s="71">
        <f>'2012年2月'!U40</f>
        <v>0</v>
      </c>
      <c r="D40" s="68"/>
      <c r="E40" s="69"/>
      <c r="F40" s="70">
        <f>-F55*D40</f>
        <v>0</v>
      </c>
      <c r="G40" s="68"/>
      <c r="H40" s="69"/>
      <c r="I40" s="70">
        <v>0</v>
      </c>
      <c r="J40" s="68"/>
      <c r="K40" s="69"/>
      <c r="L40" s="70">
        <f t="shared" si="1"/>
        <v>0</v>
      </c>
      <c r="M40" s="68"/>
      <c r="N40" s="69"/>
      <c r="O40" s="70">
        <v>0</v>
      </c>
      <c r="P40" s="93"/>
      <c r="Q40" s="102"/>
      <c r="R40" s="70">
        <f t="shared" si="2"/>
        <v>0</v>
      </c>
      <c r="S40" s="68"/>
      <c r="T40" s="71"/>
      <c r="U40" s="110">
        <f t="shared" si="0"/>
        <v>0</v>
      </c>
      <c r="W40" s="89"/>
    </row>
    <row r="41" spans="1:23" ht="12.75">
      <c r="A41" s="2">
        <v>39</v>
      </c>
      <c r="B41" s="132"/>
      <c r="C41" s="71">
        <f>'2012年2月'!U41</f>
        <v>0</v>
      </c>
      <c r="D41" s="68"/>
      <c r="E41" s="69"/>
      <c r="F41" s="70">
        <f>-F55*D41</f>
        <v>0</v>
      </c>
      <c r="G41" s="68"/>
      <c r="H41" s="69"/>
      <c r="I41" s="70">
        <v>0</v>
      </c>
      <c r="J41" s="68"/>
      <c r="K41" s="69"/>
      <c r="L41" s="70">
        <f t="shared" si="1"/>
        <v>0</v>
      </c>
      <c r="M41" s="68"/>
      <c r="N41" s="69"/>
      <c r="O41" s="70">
        <v>0</v>
      </c>
      <c r="P41" s="93"/>
      <c r="Q41" s="102"/>
      <c r="R41" s="70">
        <f t="shared" si="2"/>
        <v>0</v>
      </c>
      <c r="S41" s="68"/>
      <c r="T41" s="71"/>
      <c r="U41" s="77">
        <f t="shared" si="0"/>
        <v>0</v>
      </c>
      <c r="W41" s="89"/>
    </row>
    <row r="42" spans="1:23" ht="12.75">
      <c r="A42" s="2">
        <v>40</v>
      </c>
      <c r="B42" s="129"/>
      <c r="C42" s="134">
        <f>'2012年2月'!U42</f>
        <v>0</v>
      </c>
      <c r="D42" s="62"/>
      <c r="E42" s="74"/>
      <c r="F42" s="64">
        <f>-F55*D42</f>
        <v>0</v>
      </c>
      <c r="G42" s="62"/>
      <c r="H42" s="74"/>
      <c r="I42" s="64">
        <v>0</v>
      </c>
      <c r="J42" s="62"/>
      <c r="K42" s="74"/>
      <c r="L42" s="64">
        <f t="shared" si="1"/>
        <v>0</v>
      </c>
      <c r="M42" s="62"/>
      <c r="N42" s="74"/>
      <c r="O42" s="64">
        <v>0</v>
      </c>
      <c r="P42" s="95"/>
      <c r="Q42" s="104"/>
      <c r="R42" s="64">
        <f t="shared" si="2"/>
        <v>0</v>
      </c>
      <c r="S42" s="62"/>
      <c r="T42" s="66"/>
      <c r="U42" s="77">
        <f t="shared" si="0"/>
        <v>0</v>
      </c>
      <c r="W42" s="89"/>
    </row>
    <row r="43" spans="1:23" ht="12.75">
      <c r="A43" s="2">
        <v>41</v>
      </c>
      <c r="B43" s="129" t="s">
        <v>30</v>
      </c>
      <c r="C43" s="134">
        <f>'2012年2月'!U43</f>
        <v>47.519541176470604</v>
      </c>
      <c r="D43" s="65">
        <v>1</v>
      </c>
      <c r="E43" s="74"/>
      <c r="F43" s="64">
        <f>-F55*D43</f>
        <v>-14.285714285714286</v>
      </c>
      <c r="G43" s="65">
        <v>1</v>
      </c>
      <c r="H43" s="74"/>
      <c r="I43" s="64">
        <v>0</v>
      </c>
      <c r="J43" s="65">
        <v>1</v>
      </c>
      <c r="K43" s="74"/>
      <c r="L43" s="64">
        <f t="shared" si="1"/>
        <v>-13.333</v>
      </c>
      <c r="M43" s="65">
        <v>1</v>
      </c>
      <c r="N43" s="74"/>
      <c r="O43" s="64">
        <v>0</v>
      </c>
      <c r="P43" s="97"/>
      <c r="Q43" s="106"/>
      <c r="R43" s="64">
        <f t="shared" si="2"/>
        <v>0</v>
      </c>
      <c r="S43" s="65"/>
      <c r="T43" s="66"/>
      <c r="U43" s="77">
        <f t="shared" si="0"/>
        <v>19.90082689075632</v>
      </c>
      <c r="W43" s="89"/>
    </row>
    <row r="44" spans="1:23" ht="12.75">
      <c r="A44" s="2">
        <v>42</v>
      </c>
      <c r="B44" s="129" t="s">
        <v>57</v>
      </c>
      <c r="C44" s="134">
        <f>'2012年2月'!U44</f>
        <v>70.10554117647052</v>
      </c>
      <c r="D44" s="65">
        <v>1</v>
      </c>
      <c r="E44" s="74"/>
      <c r="F44" s="64">
        <f>-F55*D44</f>
        <v>-14.285714285714286</v>
      </c>
      <c r="G44" s="65">
        <v>1</v>
      </c>
      <c r="H44" s="74"/>
      <c r="I44" s="64">
        <v>0</v>
      </c>
      <c r="J44" s="65">
        <v>1</v>
      </c>
      <c r="K44" s="74"/>
      <c r="L44" s="64">
        <f t="shared" si="1"/>
        <v>-13.333</v>
      </c>
      <c r="M44" s="65">
        <v>1</v>
      </c>
      <c r="N44" s="74"/>
      <c r="O44" s="64">
        <v>0</v>
      </c>
      <c r="P44" s="97">
        <v>1</v>
      </c>
      <c r="Q44" s="106"/>
      <c r="R44" s="64">
        <f t="shared" si="2"/>
        <v>-14.2857</v>
      </c>
      <c r="S44" s="65"/>
      <c r="T44" s="66"/>
      <c r="U44" s="77">
        <f t="shared" si="0"/>
        <v>28.201126890756242</v>
      </c>
      <c r="W44" s="89"/>
    </row>
    <row r="45" spans="1:23" ht="12.75">
      <c r="A45" s="2">
        <v>43</v>
      </c>
      <c r="B45" s="130"/>
      <c r="C45" s="135">
        <f>'2012年2月'!U45</f>
        <v>0</v>
      </c>
      <c r="D45" s="48"/>
      <c r="E45" s="75"/>
      <c r="F45" s="46">
        <f>-F55*D45</f>
        <v>0</v>
      </c>
      <c r="G45" s="48"/>
      <c r="H45" s="75"/>
      <c r="I45" s="46">
        <v>0</v>
      </c>
      <c r="J45" s="48"/>
      <c r="K45" s="75"/>
      <c r="L45" s="46">
        <f t="shared" si="1"/>
        <v>0</v>
      </c>
      <c r="M45" s="48"/>
      <c r="N45" s="75"/>
      <c r="O45" s="46">
        <v>0</v>
      </c>
      <c r="P45" s="98"/>
      <c r="Q45" s="107"/>
      <c r="R45" s="46">
        <f t="shared" si="2"/>
        <v>0</v>
      </c>
      <c r="S45" s="48"/>
      <c r="T45" s="47"/>
      <c r="U45" s="77">
        <f t="shared" si="0"/>
        <v>0</v>
      </c>
      <c r="W45" s="89"/>
    </row>
    <row r="46" spans="1:23" ht="12.75">
      <c r="A46" s="2">
        <v>44</v>
      </c>
      <c r="B46" s="133">
        <v>9631</v>
      </c>
      <c r="C46" s="135">
        <f>'2012年2月'!U46</f>
        <v>-30.023200000000003</v>
      </c>
      <c r="D46" s="44"/>
      <c r="E46" s="75"/>
      <c r="F46" s="46">
        <f>-F55*D46</f>
        <v>0</v>
      </c>
      <c r="G46" s="44">
        <v>1</v>
      </c>
      <c r="H46" s="75">
        <v>100</v>
      </c>
      <c r="I46" s="46">
        <v>0</v>
      </c>
      <c r="J46" s="44"/>
      <c r="K46" s="75"/>
      <c r="L46" s="46">
        <f t="shared" si="1"/>
        <v>0</v>
      </c>
      <c r="M46" s="44">
        <v>1</v>
      </c>
      <c r="N46" s="75"/>
      <c r="O46" s="46">
        <v>0</v>
      </c>
      <c r="P46" s="96">
        <v>1</v>
      </c>
      <c r="Q46" s="105"/>
      <c r="R46" s="46">
        <f t="shared" si="2"/>
        <v>-14.2857</v>
      </c>
      <c r="S46" s="44"/>
      <c r="T46" s="47"/>
      <c r="U46" s="77">
        <f t="shared" si="0"/>
        <v>55.6911</v>
      </c>
      <c r="W46" s="89"/>
    </row>
    <row r="47" spans="1:23" ht="12.75">
      <c r="A47" s="2">
        <v>45</v>
      </c>
      <c r="B47" s="130" t="s">
        <v>124</v>
      </c>
      <c r="C47" s="138">
        <f>'2012年2月'!U47</f>
        <v>60.850067492260045</v>
      </c>
      <c r="D47" s="48">
        <v>1</v>
      </c>
      <c r="E47" s="75"/>
      <c r="F47" s="46">
        <f>-F55*D47</f>
        <v>-14.285714285714286</v>
      </c>
      <c r="G47" s="48">
        <v>1</v>
      </c>
      <c r="H47" s="75"/>
      <c r="I47" s="46">
        <v>0</v>
      </c>
      <c r="J47" s="48">
        <v>1</v>
      </c>
      <c r="K47" s="75"/>
      <c r="L47" s="46">
        <f t="shared" si="1"/>
        <v>-13.333</v>
      </c>
      <c r="M47" s="48">
        <v>1</v>
      </c>
      <c r="N47" s="75"/>
      <c r="O47" s="46">
        <v>0</v>
      </c>
      <c r="P47" s="98">
        <v>1</v>
      </c>
      <c r="Q47" s="107"/>
      <c r="R47" s="46">
        <f t="shared" si="2"/>
        <v>-14.2857</v>
      </c>
      <c r="S47" s="48"/>
      <c r="T47" s="47"/>
      <c r="U47" s="77">
        <f t="shared" si="0"/>
        <v>18.945653206545764</v>
      </c>
      <c r="W47" s="89"/>
    </row>
    <row r="48" spans="1:23" ht="12.75">
      <c r="A48" s="2">
        <v>46</v>
      </c>
      <c r="B48" s="78"/>
      <c r="C48" s="124">
        <f>'2012年2月'!U48</f>
        <v>0</v>
      </c>
      <c r="D48" s="50"/>
      <c r="E48" s="51"/>
      <c r="F48" s="52">
        <f>-F55*D48</f>
        <v>0</v>
      </c>
      <c r="G48" s="50"/>
      <c r="H48" s="51"/>
      <c r="I48" s="52">
        <v>0</v>
      </c>
      <c r="J48" s="50"/>
      <c r="K48" s="51"/>
      <c r="L48" s="52">
        <f t="shared" si="1"/>
        <v>0</v>
      </c>
      <c r="M48" s="50"/>
      <c r="N48" s="51"/>
      <c r="O48" s="52">
        <v>0</v>
      </c>
      <c r="P48" s="90"/>
      <c r="Q48" s="108"/>
      <c r="R48" s="52">
        <f t="shared" si="2"/>
        <v>0</v>
      </c>
      <c r="S48" s="50"/>
      <c r="T48" s="53"/>
      <c r="U48" s="77">
        <f t="shared" si="0"/>
        <v>0</v>
      </c>
      <c r="W48" s="89"/>
    </row>
    <row r="49" spans="1:23" ht="12.75">
      <c r="A49" s="2">
        <v>47</v>
      </c>
      <c r="B49" s="78"/>
      <c r="C49" s="124">
        <f>'2012年2月'!U49</f>
        <v>0</v>
      </c>
      <c r="D49" s="50"/>
      <c r="E49" s="51"/>
      <c r="F49" s="52">
        <f>-F55*D49</f>
        <v>0</v>
      </c>
      <c r="G49" s="50"/>
      <c r="H49" s="51"/>
      <c r="I49" s="52">
        <v>0</v>
      </c>
      <c r="J49" s="50"/>
      <c r="K49" s="51"/>
      <c r="L49" s="52">
        <f t="shared" si="1"/>
        <v>0</v>
      </c>
      <c r="M49" s="50"/>
      <c r="N49" s="51"/>
      <c r="O49" s="52">
        <v>0</v>
      </c>
      <c r="P49" s="90"/>
      <c r="Q49" s="108"/>
      <c r="R49" s="52">
        <f t="shared" si="2"/>
        <v>0</v>
      </c>
      <c r="S49" s="54"/>
      <c r="T49" s="53"/>
      <c r="U49" s="77">
        <f t="shared" si="0"/>
        <v>0</v>
      </c>
      <c r="W49" s="89"/>
    </row>
    <row r="50" spans="1:23" ht="12.75">
      <c r="A50" s="2">
        <v>48</v>
      </c>
      <c r="B50" s="78"/>
      <c r="C50" s="124">
        <f>'2012年2月'!U50</f>
        <v>0</v>
      </c>
      <c r="D50" s="50"/>
      <c r="E50" s="51"/>
      <c r="F50" s="52">
        <f>-F55*D50</f>
        <v>0</v>
      </c>
      <c r="G50" s="50"/>
      <c r="H50" s="51"/>
      <c r="I50" s="52">
        <v>0</v>
      </c>
      <c r="J50" s="50"/>
      <c r="K50" s="51"/>
      <c r="L50" s="52">
        <f t="shared" si="1"/>
        <v>0</v>
      </c>
      <c r="M50" s="50"/>
      <c r="N50" s="51"/>
      <c r="O50" s="52">
        <v>0</v>
      </c>
      <c r="P50" s="90"/>
      <c r="Q50" s="108"/>
      <c r="R50" s="52">
        <f t="shared" si="2"/>
        <v>0</v>
      </c>
      <c r="S50" s="50"/>
      <c r="T50" s="53"/>
      <c r="U50" s="77">
        <f t="shared" si="0"/>
        <v>0</v>
      </c>
      <c r="W50" s="89"/>
    </row>
    <row r="51" spans="1:23" ht="12.75">
      <c r="A51" s="2">
        <v>49</v>
      </c>
      <c r="B51" s="79"/>
      <c r="C51" s="125">
        <f>'2012年2月'!U51</f>
        <v>0</v>
      </c>
      <c r="D51" s="56"/>
      <c r="E51" s="73"/>
      <c r="F51" s="58">
        <f>-F55*D51</f>
        <v>0</v>
      </c>
      <c r="G51" s="56"/>
      <c r="H51" s="73"/>
      <c r="I51" s="58">
        <v>0</v>
      </c>
      <c r="J51" s="56"/>
      <c r="K51" s="73"/>
      <c r="L51" s="58">
        <f t="shared" si="1"/>
        <v>0</v>
      </c>
      <c r="M51" s="56"/>
      <c r="N51" s="73"/>
      <c r="O51" s="58">
        <v>0</v>
      </c>
      <c r="P51" s="56"/>
      <c r="Q51" s="73"/>
      <c r="R51" s="58">
        <f t="shared" si="2"/>
        <v>0</v>
      </c>
      <c r="S51" s="60"/>
      <c r="T51" s="59"/>
      <c r="U51" s="77">
        <f t="shared" si="0"/>
        <v>0</v>
      </c>
      <c r="W51" s="89"/>
    </row>
    <row r="52" spans="1:23" ht="12.75">
      <c r="A52" s="2">
        <v>50</v>
      </c>
      <c r="B52" s="79" t="s">
        <v>35</v>
      </c>
      <c r="C52" s="125">
        <f>'2012年2月'!U52</f>
        <v>76.73379999999999</v>
      </c>
      <c r="D52" s="60"/>
      <c r="E52" s="73"/>
      <c r="F52" s="58">
        <f>-F55*D52</f>
        <v>0</v>
      </c>
      <c r="G52" s="60"/>
      <c r="H52" s="73"/>
      <c r="I52" s="58">
        <v>0</v>
      </c>
      <c r="J52" s="60"/>
      <c r="K52" s="73"/>
      <c r="L52" s="58">
        <f t="shared" si="1"/>
        <v>0</v>
      </c>
      <c r="M52" s="60"/>
      <c r="N52" s="73"/>
      <c r="O52" s="58">
        <v>0</v>
      </c>
      <c r="P52" s="60"/>
      <c r="Q52" s="73"/>
      <c r="R52" s="58">
        <f t="shared" si="2"/>
        <v>0</v>
      </c>
      <c r="S52" s="56"/>
      <c r="T52" s="59"/>
      <c r="U52" s="77">
        <f t="shared" si="0"/>
        <v>76.73379999999999</v>
      </c>
      <c r="W52" s="89"/>
    </row>
    <row r="53" spans="1:23" ht="12.75">
      <c r="A53" s="2">
        <v>51</v>
      </c>
      <c r="B53" s="87"/>
      <c r="C53" s="125">
        <f>'2012年2月'!U53</f>
        <v>0</v>
      </c>
      <c r="D53" s="56"/>
      <c r="E53" s="73"/>
      <c r="F53" s="58">
        <f>-F55*D53</f>
        <v>0</v>
      </c>
      <c r="G53" s="56"/>
      <c r="H53" s="73"/>
      <c r="I53" s="58">
        <v>0</v>
      </c>
      <c r="J53" s="56"/>
      <c r="K53" s="73"/>
      <c r="L53" s="58">
        <f t="shared" si="1"/>
        <v>0</v>
      </c>
      <c r="M53" s="56"/>
      <c r="N53" s="73"/>
      <c r="O53" s="58">
        <v>0</v>
      </c>
      <c r="P53" s="56"/>
      <c r="Q53" s="73"/>
      <c r="R53" s="58">
        <f t="shared" si="2"/>
        <v>0</v>
      </c>
      <c r="S53" s="56"/>
      <c r="T53" s="59"/>
      <c r="U53" s="77">
        <f t="shared" si="0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14.285714285714286</v>
      </c>
      <c r="G55" s="1">
        <f>SUM(G3:G53)</f>
        <v>24</v>
      </c>
      <c r="I55" s="1">
        <f>H66/G55</f>
        <v>12.5</v>
      </c>
      <c r="J55" s="1">
        <f>SUM(J3:J53)</f>
        <v>21</v>
      </c>
      <c r="L55" s="1">
        <f>K66/J55</f>
        <v>13.333333333333334</v>
      </c>
      <c r="M55" s="1">
        <f>SUM(M3:M53)</f>
        <v>27</v>
      </c>
      <c r="O55" s="1">
        <f>N66/M55</f>
        <v>11.11111111111111</v>
      </c>
      <c r="P55" s="1">
        <f>SUM(P3:P53)</f>
        <v>21</v>
      </c>
      <c r="R55" s="1">
        <f>Q66/P55</f>
        <v>14.285714285714286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-299.9930000000001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-299.9997</v>
      </c>
      <c r="U57" s="19"/>
    </row>
    <row r="58" spans="2:21" ht="12.75">
      <c r="B58" s="29" t="s">
        <v>39</v>
      </c>
      <c r="C58" s="27">
        <f>SUM(C3:C53)</f>
        <v>2700.0024999999996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3200.0098000000003</v>
      </c>
      <c r="W59" s="89">
        <f>U59</f>
        <v>3200.0098000000003</v>
      </c>
    </row>
    <row r="60" spans="4:20" ht="12.75" customHeight="1">
      <c r="D60" s="147" t="s">
        <v>374</v>
      </c>
      <c r="E60" s="148"/>
      <c r="F60" s="149"/>
      <c r="G60" s="147" t="s">
        <v>375</v>
      </c>
      <c r="H60" s="148"/>
      <c r="I60" s="149"/>
      <c r="J60" s="147" t="s">
        <v>376</v>
      </c>
      <c r="K60" s="148"/>
      <c r="L60" s="149"/>
      <c r="M60" s="147" t="s">
        <v>377</v>
      </c>
      <c r="N60" s="148"/>
      <c r="O60" s="149"/>
      <c r="P60" s="147" t="s">
        <v>389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300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280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380</v>
      </c>
      <c r="H74" s="145"/>
      <c r="I74" s="145"/>
      <c r="J74" s="145"/>
      <c r="K74" s="145"/>
      <c r="L74" s="145"/>
      <c r="M74" s="145" t="s">
        <v>385</v>
      </c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381</v>
      </c>
      <c r="H77" s="145"/>
      <c r="I77" s="145"/>
      <c r="J77" s="145"/>
      <c r="K77" s="145"/>
      <c r="L77" s="145"/>
      <c r="M77" s="145" t="s">
        <v>386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 t="s">
        <v>379</v>
      </c>
      <c r="K82" s="1">
        <v>10</v>
      </c>
      <c r="M82" s="28" t="s">
        <v>379</v>
      </c>
      <c r="N82" s="28"/>
      <c r="P82" s="28"/>
    </row>
    <row r="83" spans="4:16" ht="12.75">
      <c r="D83" s="28"/>
      <c r="G83" s="28"/>
      <c r="J83" s="28" t="s">
        <v>382</v>
      </c>
      <c r="K83" s="1">
        <v>10</v>
      </c>
      <c r="M83" s="28"/>
      <c r="N83" s="28"/>
      <c r="P83" s="28"/>
    </row>
    <row r="84" spans="5:17" ht="12.75">
      <c r="E84" s="28"/>
      <c r="H84" s="28"/>
      <c r="J84" s="28"/>
      <c r="K84" s="122">
        <f>SUM(K82:K83)</f>
        <v>20</v>
      </c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/>
      <c r="E89" s="28"/>
      <c r="G89" s="109" t="s">
        <v>378</v>
      </c>
      <c r="J89" s="109"/>
      <c r="K89" s="28"/>
      <c r="M89" s="109" t="s">
        <v>387</v>
      </c>
      <c r="P89" s="109"/>
    </row>
    <row r="90" spans="7:13" ht="12.75">
      <c r="G90" s="1">
        <v>9631</v>
      </c>
      <c r="M90" s="28" t="s">
        <v>388</v>
      </c>
    </row>
    <row r="93" ht="12.75"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383</v>
      </c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D1:F1"/>
    <mergeCell ref="S59:T59"/>
    <mergeCell ref="D60:F64"/>
    <mergeCell ref="G60:I64"/>
    <mergeCell ref="J60:L64"/>
    <mergeCell ref="M60:O64"/>
    <mergeCell ref="P60:R64"/>
    <mergeCell ref="S60:T64"/>
    <mergeCell ref="P74:R76"/>
    <mergeCell ref="D77:F79"/>
    <mergeCell ref="G77:I79"/>
    <mergeCell ref="J77:L79"/>
    <mergeCell ref="M77:O79"/>
    <mergeCell ref="P77:R79"/>
    <mergeCell ref="G74:I76"/>
    <mergeCell ref="J72:L72"/>
    <mergeCell ref="D74:F76"/>
    <mergeCell ref="J74:L76"/>
    <mergeCell ref="M74:O76"/>
    <mergeCell ref="M87:O87"/>
    <mergeCell ref="J87:L87"/>
    <mergeCell ref="G87:I87"/>
    <mergeCell ref="D87:F87"/>
    <mergeCell ref="G80:I80"/>
    <mergeCell ref="J80:L80"/>
    <mergeCell ref="M80:O80"/>
    <mergeCell ref="P80:R80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6" sqref="U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41007</v>
      </c>
      <c r="E1" s="155"/>
      <c r="F1" s="156"/>
      <c r="G1" s="16"/>
      <c r="H1" s="24">
        <v>41014</v>
      </c>
      <c r="I1" s="17"/>
      <c r="J1" s="30"/>
      <c r="K1" s="24">
        <v>41017</v>
      </c>
      <c r="L1" s="31"/>
      <c r="M1" s="16"/>
      <c r="N1" s="24">
        <v>41021</v>
      </c>
      <c r="O1" s="17"/>
      <c r="P1" s="16"/>
      <c r="Q1" s="24">
        <v>41028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'2012年3月'!U3</f>
        <v>81.67299999999999</v>
      </c>
      <c r="D3" s="50">
        <v>1</v>
      </c>
      <c r="E3" s="51"/>
      <c r="F3" s="52">
        <f>-14.0476*D3</f>
        <v>-14.0476</v>
      </c>
      <c r="G3" s="50">
        <v>1</v>
      </c>
      <c r="H3" s="51"/>
      <c r="I3" s="52">
        <f>-10.7143*G3</f>
        <v>-10.7143</v>
      </c>
      <c r="J3" s="50">
        <v>1</v>
      </c>
      <c r="K3" s="51">
        <v>0.8664</v>
      </c>
      <c r="L3" s="52">
        <f>-2.7738*J3</f>
        <v>-2.7738</v>
      </c>
      <c r="M3" s="50">
        <v>1</v>
      </c>
      <c r="N3" s="51"/>
      <c r="O3" s="52">
        <f>-15*M3</f>
        <v>-15</v>
      </c>
      <c r="P3" s="90">
        <v>1</v>
      </c>
      <c r="Q3" s="99"/>
      <c r="R3" s="52">
        <f>-12.5*P3</f>
        <v>-12.5</v>
      </c>
      <c r="S3" s="50"/>
      <c r="T3" s="53"/>
      <c r="U3" s="77">
        <f aca="true" t="shared" si="0" ref="U3:U34">C3+E3+F3+H3+I3+K3+L3+N3+O3+T3+Q3+R3</f>
        <v>27.50369999999998</v>
      </c>
      <c r="W3" s="89"/>
    </row>
    <row r="4" spans="1:23" ht="12.75">
      <c r="A4" s="2">
        <v>2</v>
      </c>
      <c r="B4" s="76" t="s">
        <v>3</v>
      </c>
      <c r="C4" s="124">
        <f>'2012年3月'!U4</f>
        <v>33.16315320654577</v>
      </c>
      <c r="D4" s="50"/>
      <c r="E4" s="51"/>
      <c r="F4" s="52">
        <f aca="true" t="shared" si="1" ref="F4:F53">-14.0476*D4</f>
        <v>0</v>
      </c>
      <c r="G4" s="50">
        <v>1</v>
      </c>
      <c r="H4" s="51"/>
      <c r="I4" s="52">
        <f aca="true" t="shared" si="2" ref="I4:I53">-10.7143*G4</f>
        <v>-10.7143</v>
      </c>
      <c r="J4" s="50">
        <v>1</v>
      </c>
      <c r="K4" s="51"/>
      <c r="L4" s="52">
        <f aca="true" t="shared" si="3" ref="L4:L53">-2.7738*J4</f>
        <v>-2.7738</v>
      </c>
      <c r="M4" s="50">
        <v>1</v>
      </c>
      <c r="N4" s="51"/>
      <c r="O4" s="52">
        <f aca="true" t="shared" si="4" ref="O4:O53">-15*M4</f>
        <v>-15</v>
      </c>
      <c r="P4" s="90"/>
      <c r="Q4" s="99"/>
      <c r="R4" s="52">
        <f aca="true" t="shared" si="5" ref="R4:R53">-12.5*P4</f>
        <v>0</v>
      </c>
      <c r="S4" s="54"/>
      <c r="T4" s="53"/>
      <c r="U4" s="77">
        <f t="shared" si="0"/>
        <v>4.675053206545769</v>
      </c>
      <c r="W4" s="89"/>
    </row>
    <row r="5" spans="1:23" ht="12.75">
      <c r="A5" s="2">
        <v>3</v>
      </c>
      <c r="B5" s="78" t="s">
        <v>182</v>
      </c>
      <c r="C5" s="124">
        <f>'2012年3月'!U5</f>
        <v>25.4788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>
        <v>-25.4788</v>
      </c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127" t="s">
        <v>12</v>
      </c>
      <c r="C6" s="128">
        <f>'2012年3月'!U6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-2.7738</v>
      </c>
      <c r="M6" s="60"/>
      <c r="N6" s="57"/>
      <c r="O6" s="58">
        <f t="shared" si="4"/>
        <v>0</v>
      </c>
      <c r="P6" s="91">
        <v>1</v>
      </c>
      <c r="Q6" s="100"/>
      <c r="R6" s="58">
        <f t="shared" si="5"/>
        <v>-12.5</v>
      </c>
      <c r="S6" s="60"/>
      <c r="T6" s="59"/>
      <c r="U6" s="77">
        <f t="shared" si="0"/>
        <v>53.132999999999996</v>
      </c>
      <c r="W6" s="89"/>
    </row>
    <row r="7" spans="1:23" ht="12.75">
      <c r="A7" s="2">
        <v>5</v>
      </c>
      <c r="B7" s="127" t="s">
        <v>45</v>
      </c>
      <c r="C7" s="128">
        <f>'2012年3月'!U7</f>
        <v>66.06301203007517</v>
      </c>
      <c r="D7" s="56">
        <v>1</v>
      </c>
      <c r="E7" s="57"/>
      <c r="F7" s="58">
        <f t="shared" si="1"/>
        <v>-14.0476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-2.7738</v>
      </c>
      <c r="M7" s="56">
        <v>1</v>
      </c>
      <c r="N7" s="57"/>
      <c r="O7" s="58">
        <f t="shared" si="4"/>
        <v>-15</v>
      </c>
      <c r="P7" s="92">
        <v>1</v>
      </c>
      <c r="Q7" s="101"/>
      <c r="R7" s="58">
        <f t="shared" si="5"/>
        <v>-12.5</v>
      </c>
      <c r="S7" s="56"/>
      <c r="T7" s="59"/>
      <c r="U7" s="77">
        <f t="shared" si="0"/>
        <v>21.741612030075167</v>
      </c>
      <c r="W7" s="89"/>
    </row>
    <row r="8" spans="1:23" ht="12.75">
      <c r="A8" s="2">
        <v>6</v>
      </c>
      <c r="B8" s="127" t="s">
        <v>183</v>
      </c>
      <c r="C8" s="128">
        <f>'2012年3月'!U8</f>
        <v>175.65591203007523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-10.7143</v>
      </c>
      <c r="J8" s="56">
        <v>1</v>
      </c>
      <c r="K8" s="57"/>
      <c r="L8" s="58">
        <f t="shared" si="3"/>
        <v>-2.7738</v>
      </c>
      <c r="M8" s="56">
        <v>1</v>
      </c>
      <c r="N8" s="57"/>
      <c r="O8" s="58">
        <f t="shared" si="4"/>
        <v>-15</v>
      </c>
      <c r="P8" s="92">
        <v>1</v>
      </c>
      <c r="Q8" s="101"/>
      <c r="R8" s="58">
        <f t="shared" si="5"/>
        <v>-12.5</v>
      </c>
      <c r="S8" s="60"/>
      <c r="T8" s="59"/>
      <c r="U8" s="77">
        <f t="shared" si="0"/>
        <v>134.66781203007523</v>
      </c>
      <c r="W8" s="89"/>
    </row>
    <row r="9" spans="1:23" ht="12.75">
      <c r="A9" s="2">
        <v>7</v>
      </c>
      <c r="B9" s="132" t="s">
        <v>384</v>
      </c>
      <c r="C9" s="139">
        <f>'2012年3月'!U9</f>
        <v>30.80232631578948</v>
      </c>
      <c r="D9" s="68">
        <v>1</v>
      </c>
      <c r="E9" s="69"/>
      <c r="F9" s="70">
        <f t="shared" si="1"/>
        <v>-14.0476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-2.7738</v>
      </c>
      <c r="M9" s="68">
        <v>1</v>
      </c>
      <c r="N9" s="69">
        <v>100</v>
      </c>
      <c r="O9" s="70">
        <f t="shared" si="4"/>
        <v>-15</v>
      </c>
      <c r="P9" s="93">
        <v>1</v>
      </c>
      <c r="Q9" s="102"/>
      <c r="R9" s="70">
        <f t="shared" si="5"/>
        <v>-12.5</v>
      </c>
      <c r="S9" s="68"/>
      <c r="T9" s="71"/>
      <c r="U9" s="77">
        <f t="shared" si="0"/>
        <v>86.48092631578947</v>
      </c>
      <c r="W9" s="89"/>
    </row>
    <row r="10" spans="1:23" ht="12.75">
      <c r="A10" s="2">
        <v>8</v>
      </c>
      <c r="B10" s="132" t="s">
        <v>47</v>
      </c>
      <c r="C10" s="139">
        <f>'2012年3月'!U10</f>
        <v>207.89155320654575</v>
      </c>
      <c r="D10" s="72">
        <v>1</v>
      </c>
      <c r="E10" s="69"/>
      <c r="F10" s="70">
        <f t="shared" si="1"/>
        <v>-14.0476</v>
      </c>
      <c r="G10" s="72">
        <v>1</v>
      </c>
      <c r="H10" s="69"/>
      <c r="I10" s="70">
        <f t="shared" si="2"/>
        <v>-10.7143</v>
      </c>
      <c r="J10" s="72">
        <v>1</v>
      </c>
      <c r="K10" s="69"/>
      <c r="L10" s="70">
        <f t="shared" si="3"/>
        <v>-2.7738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-12.5</v>
      </c>
      <c r="S10" s="72"/>
      <c r="T10" s="71"/>
      <c r="U10" s="77">
        <f t="shared" si="0"/>
        <v>152.85585320654576</v>
      </c>
      <c r="W10" s="89"/>
    </row>
    <row r="11" spans="1:23" ht="12.75">
      <c r="A11" s="2">
        <v>9</v>
      </c>
      <c r="B11" s="132" t="s">
        <v>48</v>
      </c>
      <c r="C11" s="139">
        <f>'2012年3月'!U11</f>
        <v>-43.78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>
        <v>43.78</v>
      </c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0</v>
      </c>
      <c r="W11" s="89"/>
    </row>
    <row r="12" spans="1:23" ht="12.75">
      <c r="A12" s="2">
        <v>10</v>
      </c>
      <c r="B12" s="129" t="s">
        <v>49</v>
      </c>
      <c r="C12" s="140">
        <f>'2012年3月'!U12</f>
        <v>265.8157389208315</v>
      </c>
      <c r="D12" s="62">
        <v>1</v>
      </c>
      <c r="E12" s="63"/>
      <c r="F12" s="64">
        <f>-14.0476*D12-5</f>
        <v>-19.0476</v>
      </c>
      <c r="G12" s="62">
        <v>2</v>
      </c>
      <c r="H12" s="63"/>
      <c r="I12" s="64">
        <f t="shared" si="2"/>
        <v>-21.4286</v>
      </c>
      <c r="J12" s="62">
        <v>1</v>
      </c>
      <c r="K12" s="63"/>
      <c r="L12" s="64">
        <f t="shared" si="3"/>
        <v>-2.7738</v>
      </c>
      <c r="M12" s="62">
        <v>1</v>
      </c>
      <c r="N12" s="63"/>
      <c r="O12" s="64">
        <f t="shared" si="4"/>
        <v>-15</v>
      </c>
      <c r="P12" s="95">
        <v>1</v>
      </c>
      <c r="Q12" s="104"/>
      <c r="R12" s="64">
        <f t="shared" si="5"/>
        <v>-12.5</v>
      </c>
      <c r="S12" s="62"/>
      <c r="T12" s="66"/>
      <c r="U12" s="77">
        <f t="shared" si="0"/>
        <v>195.06573892083154</v>
      </c>
      <c r="W12" s="89"/>
    </row>
    <row r="13" spans="1:23" ht="12.75">
      <c r="A13" s="2">
        <v>11</v>
      </c>
      <c r="B13" s="129" t="s">
        <v>373</v>
      </c>
      <c r="C13" s="140">
        <f>'2012年3月'!U13</f>
        <v>108.09552689075629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-10.7143</v>
      </c>
      <c r="J13" s="62">
        <v>1</v>
      </c>
      <c r="K13" s="63"/>
      <c r="L13" s="64">
        <f t="shared" si="3"/>
        <v>-2.7738</v>
      </c>
      <c r="M13" s="62">
        <v>1</v>
      </c>
      <c r="N13" s="116"/>
      <c r="O13" s="64">
        <f t="shared" si="4"/>
        <v>-15</v>
      </c>
      <c r="P13" s="95"/>
      <c r="Q13" s="104"/>
      <c r="R13" s="64">
        <f t="shared" si="5"/>
        <v>0</v>
      </c>
      <c r="S13" s="65"/>
      <c r="T13" s="66"/>
      <c r="U13" s="77">
        <f t="shared" si="0"/>
        <v>79.6074268907563</v>
      </c>
      <c r="W13" s="89"/>
    </row>
    <row r="14" spans="1:23" ht="12.75">
      <c r="A14" s="2">
        <v>12</v>
      </c>
      <c r="B14" s="129" t="s">
        <v>14</v>
      </c>
      <c r="C14" s="140">
        <f>'2012年3月'!U14</f>
        <v>49.376500000000014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-10.7143</v>
      </c>
      <c r="J14" s="62">
        <v>1</v>
      </c>
      <c r="K14" s="63"/>
      <c r="L14" s="64">
        <f t="shared" si="3"/>
        <v>-2.7738</v>
      </c>
      <c r="M14" s="62">
        <v>1</v>
      </c>
      <c r="N14" s="63"/>
      <c r="O14" s="64">
        <f t="shared" si="4"/>
        <v>-15</v>
      </c>
      <c r="P14" s="95">
        <v>1</v>
      </c>
      <c r="Q14" s="104"/>
      <c r="R14" s="64">
        <f t="shared" si="5"/>
        <v>-12.5</v>
      </c>
      <c r="S14" s="62"/>
      <c r="T14" s="66"/>
      <c r="U14" s="77">
        <f t="shared" si="0"/>
        <v>8.388400000000011</v>
      </c>
      <c r="W14" s="89"/>
    </row>
    <row r="15" spans="1:23" ht="12.75">
      <c r="A15" s="2">
        <v>13</v>
      </c>
      <c r="B15" s="130" t="s">
        <v>15</v>
      </c>
      <c r="C15" s="138">
        <f>'2012年3月'!U15</f>
        <v>40.56238571428568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-2.7738</v>
      </c>
      <c r="M15" s="44"/>
      <c r="N15" s="45"/>
      <c r="O15" s="46">
        <f t="shared" si="4"/>
        <v>0</v>
      </c>
      <c r="P15" s="96">
        <v>1</v>
      </c>
      <c r="Q15" s="105">
        <v>100</v>
      </c>
      <c r="R15" s="46">
        <f t="shared" si="5"/>
        <v>-12.5</v>
      </c>
      <c r="S15" s="48"/>
      <c r="T15" s="47"/>
      <c r="U15" s="77">
        <f t="shared" si="0"/>
        <v>125.28858571428569</v>
      </c>
      <c r="W15" s="89"/>
    </row>
    <row r="16" spans="1:23" ht="12.75">
      <c r="A16" s="2">
        <v>14</v>
      </c>
      <c r="B16" s="130" t="s">
        <v>50</v>
      </c>
      <c r="C16" s="138">
        <f>'2012年3月'!U16</f>
        <v>32.74215320654575</v>
      </c>
      <c r="D16" s="44">
        <v>1</v>
      </c>
      <c r="E16" s="45"/>
      <c r="F16" s="46">
        <f t="shared" si="1"/>
        <v>-14.0476</v>
      </c>
      <c r="G16" s="44">
        <v>1</v>
      </c>
      <c r="H16" s="45">
        <v>100</v>
      </c>
      <c r="I16" s="46">
        <f t="shared" si="2"/>
        <v>-10.7143</v>
      </c>
      <c r="J16" s="44">
        <v>1</v>
      </c>
      <c r="K16" s="45"/>
      <c r="L16" s="46">
        <f t="shared" si="3"/>
        <v>-2.7738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-12.5</v>
      </c>
      <c r="S16" s="44"/>
      <c r="T16" s="47"/>
      <c r="U16" s="77">
        <f t="shared" si="0"/>
        <v>77.70645320654576</v>
      </c>
      <c r="W16" s="89"/>
    </row>
    <row r="17" spans="1:23" ht="12.75">
      <c r="A17" s="2">
        <v>15</v>
      </c>
      <c r="B17" s="130" t="s">
        <v>184</v>
      </c>
      <c r="C17" s="138">
        <f>'2012年3月'!U17</f>
        <v>22.374900000000004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-2.7738</v>
      </c>
      <c r="M17" s="44">
        <v>1</v>
      </c>
      <c r="N17" s="45">
        <v>100</v>
      </c>
      <c r="O17" s="46">
        <f t="shared" si="4"/>
        <v>-15</v>
      </c>
      <c r="P17" s="96"/>
      <c r="Q17" s="105"/>
      <c r="R17" s="46">
        <f t="shared" si="5"/>
        <v>0</v>
      </c>
      <c r="S17" s="48"/>
      <c r="T17" s="47"/>
      <c r="U17" s="77">
        <f t="shared" si="0"/>
        <v>104.6011</v>
      </c>
      <c r="W17" s="89"/>
    </row>
    <row r="18" spans="1:23" ht="12.75">
      <c r="A18" s="2">
        <v>16</v>
      </c>
      <c r="B18" s="131" t="s">
        <v>51</v>
      </c>
      <c r="C18" s="136">
        <f>'2012年3月'!U18</f>
        <v>-22.572587969924832</v>
      </c>
      <c r="D18" s="50">
        <v>1</v>
      </c>
      <c r="E18" s="51">
        <v>100</v>
      </c>
      <c r="F18" s="52">
        <f t="shared" si="1"/>
        <v>-14.0476</v>
      </c>
      <c r="G18" s="50">
        <v>1</v>
      </c>
      <c r="H18" s="51"/>
      <c r="I18" s="52">
        <f t="shared" si="2"/>
        <v>-10.7143</v>
      </c>
      <c r="J18" s="50">
        <v>1</v>
      </c>
      <c r="K18" s="51"/>
      <c r="L18" s="52">
        <f t="shared" si="3"/>
        <v>-2.7738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-12.5</v>
      </c>
      <c r="S18" s="50"/>
      <c r="T18" s="53"/>
      <c r="U18" s="77">
        <f t="shared" si="0"/>
        <v>37.39171203007517</v>
      </c>
      <c r="W18" s="89"/>
    </row>
    <row r="19" spans="1:23" ht="12.75">
      <c r="A19" s="2">
        <v>17</v>
      </c>
      <c r="B19" s="131" t="s">
        <v>67</v>
      </c>
      <c r="C19" s="136">
        <f>'2012年3月'!U19</f>
        <v>69.60526749226005</v>
      </c>
      <c r="D19" s="50">
        <v>1</v>
      </c>
      <c r="E19" s="51"/>
      <c r="F19" s="52">
        <f t="shared" si="1"/>
        <v>-14.0476</v>
      </c>
      <c r="G19" s="50">
        <v>1</v>
      </c>
      <c r="H19" s="51"/>
      <c r="I19" s="52">
        <f t="shared" si="2"/>
        <v>-10.7143</v>
      </c>
      <c r="J19" s="50">
        <v>1</v>
      </c>
      <c r="K19" s="51"/>
      <c r="L19" s="52">
        <f t="shared" si="3"/>
        <v>-2.7738</v>
      </c>
      <c r="M19" s="50">
        <v>1</v>
      </c>
      <c r="N19" s="51"/>
      <c r="O19" s="52">
        <f t="shared" si="4"/>
        <v>-15</v>
      </c>
      <c r="P19" s="90"/>
      <c r="Q19" s="99"/>
      <c r="R19" s="52">
        <f t="shared" si="5"/>
        <v>0</v>
      </c>
      <c r="S19" s="54"/>
      <c r="T19" s="53"/>
      <c r="U19" s="77">
        <f t="shared" si="0"/>
        <v>27.06956749226005</v>
      </c>
      <c r="W19" s="89"/>
    </row>
    <row r="20" spans="1:23" ht="12.75">
      <c r="A20" s="2">
        <v>18</v>
      </c>
      <c r="B20" s="131" t="s">
        <v>16</v>
      </c>
      <c r="C20" s="136">
        <f>'2012年3月'!U20</f>
        <v>112.1286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-2.7738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109.35480000000001</v>
      </c>
      <c r="W20" s="89"/>
    </row>
    <row r="21" spans="1:23" ht="12.75">
      <c r="A21" s="2">
        <v>19</v>
      </c>
      <c r="B21" s="127" t="s">
        <v>52</v>
      </c>
      <c r="C21" s="128">
        <f>'2012年3月'!U21</f>
        <v>102.67074117647057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3"/>
        <v>-2.7738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99.89694117647058</v>
      </c>
      <c r="W21" s="89"/>
    </row>
    <row r="22" spans="1:23" ht="12.75">
      <c r="A22" s="2">
        <v>20</v>
      </c>
      <c r="B22" s="127" t="s">
        <v>204</v>
      </c>
      <c r="C22" s="128">
        <f>'2012年3月'!U22</f>
        <v>31.12731203007523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/>
      <c r="L22" s="58">
        <f t="shared" si="3"/>
        <v>-2.7738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-12.5</v>
      </c>
      <c r="S22" s="56"/>
      <c r="T22" s="59"/>
      <c r="U22" s="77">
        <f t="shared" si="0"/>
        <v>15.85351203007523</v>
      </c>
      <c r="W22" s="89"/>
    </row>
    <row r="23" spans="1:23" ht="12.75">
      <c r="A23" s="2">
        <v>21</v>
      </c>
      <c r="B23" s="127" t="s">
        <v>17</v>
      </c>
      <c r="C23" s="128">
        <f>'2012年3月'!U23</f>
        <v>50.3991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>
        <v>-50.3991</v>
      </c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0</v>
      </c>
      <c r="W23" s="89"/>
    </row>
    <row r="24" spans="1:23" ht="12.75">
      <c r="A24" s="2">
        <v>22</v>
      </c>
      <c r="B24" s="132" t="s">
        <v>18</v>
      </c>
      <c r="C24" s="139">
        <f>'2012年3月'!U24</f>
        <v>65.25385320654574</v>
      </c>
      <c r="D24" s="68">
        <v>1</v>
      </c>
      <c r="E24" s="69"/>
      <c r="F24" s="70">
        <f t="shared" si="1"/>
        <v>-14.0476</v>
      </c>
      <c r="G24" s="68">
        <v>1</v>
      </c>
      <c r="H24" s="69"/>
      <c r="I24" s="70">
        <f t="shared" si="2"/>
        <v>-10.7143</v>
      </c>
      <c r="J24" s="68">
        <v>1</v>
      </c>
      <c r="K24" s="69"/>
      <c r="L24" s="70">
        <f t="shared" si="3"/>
        <v>-2.7738</v>
      </c>
      <c r="M24" s="68">
        <v>1</v>
      </c>
      <c r="N24" s="69"/>
      <c r="O24" s="70">
        <f t="shared" si="4"/>
        <v>-15</v>
      </c>
      <c r="P24" s="93"/>
      <c r="Q24" s="102"/>
      <c r="R24" s="70">
        <f t="shared" si="5"/>
        <v>0</v>
      </c>
      <c r="S24" s="68"/>
      <c r="T24" s="71"/>
      <c r="U24" s="77">
        <f t="shared" si="0"/>
        <v>22.718153206545736</v>
      </c>
      <c r="W24" s="89"/>
    </row>
    <row r="25" spans="1:23" ht="12.75">
      <c r="A25" s="2">
        <v>23</v>
      </c>
      <c r="B25" s="132" t="s">
        <v>19</v>
      </c>
      <c r="C25" s="139">
        <f>'2012年3月'!U25</f>
        <v>90.59125320654579</v>
      </c>
      <c r="D25" s="68">
        <v>1</v>
      </c>
      <c r="E25" s="69"/>
      <c r="F25" s="70">
        <f t="shared" si="1"/>
        <v>-14.0476</v>
      </c>
      <c r="G25" s="68">
        <v>1</v>
      </c>
      <c r="H25" s="69"/>
      <c r="I25" s="70">
        <f t="shared" si="2"/>
        <v>-10.7143</v>
      </c>
      <c r="J25" s="68">
        <v>1</v>
      </c>
      <c r="K25" s="69"/>
      <c r="L25" s="70">
        <f t="shared" si="3"/>
        <v>-2.7738</v>
      </c>
      <c r="M25" s="68"/>
      <c r="N25" s="69"/>
      <c r="O25" s="70">
        <f t="shared" si="4"/>
        <v>0</v>
      </c>
      <c r="P25" s="93">
        <v>1</v>
      </c>
      <c r="Q25" s="102"/>
      <c r="R25" s="70">
        <f t="shared" si="5"/>
        <v>-12.5</v>
      </c>
      <c r="S25" s="68"/>
      <c r="T25" s="71"/>
      <c r="U25" s="77">
        <f t="shared" si="0"/>
        <v>50.55555320654579</v>
      </c>
      <c r="W25" s="89"/>
    </row>
    <row r="26" spans="1:23" ht="12.75">
      <c r="A26" s="2">
        <v>24</v>
      </c>
      <c r="B26" s="132" t="s">
        <v>20</v>
      </c>
      <c r="C26" s="139">
        <f>'2012年3月'!U26</f>
        <v>171.59595320654574</v>
      </c>
      <c r="D26" s="68">
        <v>1</v>
      </c>
      <c r="E26" s="69"/>
      <c r="F26" s="70">
        <f t="shared" si="1"/>
        <v>-14.0476</v>
      </c>
      <c r="G26" s="68">
        <v>1</v>
      </c>
      <c r="H26" s="69"/>
      <c r="I26" s="70">
        <f t="shared" si="2"/>
        <v>-10.7143</v>
      </c>
      <c r="J26" s="68">
        <v>1</v>
      </c>
      <c r="K26" s="69"/>
      <c r="L26" s="70">
        <f t="shared" si="3"/>
        <v>-2.7738</v>
      </c>
      <c r="M26" s="68"/>
      <c r="N26" s="69"/>
      <c r="O26" s="70">
        <f t="shared" si="4"/>
        <v>0</v>
      </c>
      <c r="P26" s="93"/>
      <c r="Q26" s="102"/>
      <c r="R26" s="70">
        <f t="shared" si="5"/>
        <v>0</v>
      </c>
      <c r="S26" s="72"/>
      <c r="T26" s="71"/>
      <c r="U26" s="77">
        <f t="shared" si="0"/>
        <v>144.06025320654575</v>
      </c>
      <c r="W26" s="89"/>
    </row>
    <row r="27" spans="1:23" ht="12.75">
      <c r="A27" s="2">
        <v>25</v>
      </c>
      <c r="B27" s="129" t="s">
        <v>390</v>
      </c>
      <c r="C27" s="140">
        <f>'2012年3月'!U27</f>
        <v>162.3813</v>
      </c>
      <c r="D27" s="62">
        <v>1</v>
      </c>
      <c r="E27" s="74"/>
      <c r="F27" s="64">
        <f t="shared" si="1"/>
        <v>-14.0476</v>
      </c>
      <c r="G27" s="62">
        <v>1</v>
      </c>
      <c r="H27" s="74"/>
      <c r="I27" s="64">
        <f t="shared" si="2"/>
        <v>-10.7143</v>
      </c>
      <c r="J27" s="62">
        <v>1</v>
      </c>
      <c r="K27" s="74"/>
      <c r="L27" s="64">
        <f t="shared" si="3"/>
        <v>-2.7738</v>
      </c>
      <c r="M27" s="62"/>
      <c r="N27" s="74"/>
      <c r="O27" s="64">
        <f t="shared" si="4"/>
        <v>0</v>
      </c>
      <c r="P27" s="95">
        <v>1</v>
      </c>
      <c r="Q27" s="104"/>
      <c r="R27" s="64">
        <f t="shared" si="5"/>
        <v>-12.5</v>
      </c>
      <c r="S27" s="62"/>
      <c r="T27" s="66"/>
      <c r="U27" s="77">
        <f t="shared" si="0"/>
        <v>122.34560000000002</v>
      </c>
      <c r="W27" s="89"/>
    </row>
    <row r="28" spans="1:23" ht="12.75">
      <c r="A28" s="2">
        <v>26</v>
      </c>
      <c r="B28" s="129" t="s">
        <v>21</v>
      </c>
      <c r="C28" s="140">
        <f>'2012年3月'!U28</f>
        <v>-0.22890000000000477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>
        <v>1</v>
      </c>
      <c r="K28" s="74"/>
      <c r="L28" s="64">
        <f t="shared" si="3"/>
        <v>-2.7738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-3.002700000000005</v>
      </c>
      <c r="W28" s="89"/>
    </row>
    <row r="29" spans="1:23" ht="12.75">
      <c r="A29" s="2">
        <v>27</v>
      </c>
      <c r="B29" s="129"/>
      <c r="C29" s="140">
        <f>'2012年3月'!U29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8">
        <f>'2012年3月'!U30</f>
        <v>-50.53079999999999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>
        <v>50.5308</v>
      </c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7.105427357601002E-15</v>
      </c>
      <c r="V30" s="28"/>
      <c r="W30" s="89"/>
    </row>
    <row r="31" spans="1:23" ht="12.75">
      <c r="A31" s="2">
        <v>29</v>
      </c>
      <c r="B31" s="130"/>
      <c r="C31" s="138">
        <f>'2012年3月'!U31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8">
        <f>'2012年3月'!U32</f>
        <v>89.61882631578948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>
        <v>1</v>
      </c>
      <c r="K32" s="75"/>
      <c r="L32" s="46">
        <f t="shared" si="3"/>
        <v>-2.7738</v>
      </c>
      <c r="M32" s="48"/>
      <c r="N32" s="75"/>
      <c r="O32" s="46">
        <f t="shared" si="4"/>
        <v>0</v>
      </c>
      <c r="P32" s="98">
        <v>1</v>
      </c>
      <c r="Q32" s="107"/>
      <c r="R32" s="46">
        <f t="shared" si="5"/>
        <v>-12.5</v>
      </c>
      <c r="S32" s="48"/>
      <c r="T32" s="47"/>
      <c r="U32" s="77">
        <f t="shared" si="0"/>
        <v>74.34502631578948</v>
      </c>
      <c r="W32" s="89"/>
    </row>
    <row r="33" spans="1:23" ht="12.75">
      <c r="A33" s="2">
        <v>31</v>
      </c>
      <c r="B33" s="131" t="s">
        <v>25</v>
      </c>
      <c r="C33" s="136">
        <f>'2012年3月'!U33</f>
        <v>91.79538571428569</v>
      </c>
      <c r="D33" s="50">
        <v>1</v>
      </c>
      <c r="E33" s="51"/>
      <c r="F33" s="52">
        <f t="shared" si="1"/>
        <v>-14.0476</v>
      </c>
      <c r="G33" s="50">
        <v>1</v>
      </c>
      <c r="H33" s="51"/>
      <c r="I33" s="52">
        <f t="shared" si="2"/>
        <v>-10.7143</v>
      </c>
      <c r="J33" s="50">
        <v>1</v>
      </c>
      <c r="K33" s="51"/>
      <c r="L33" s="52">
        <f t="shared" si="3"/>
        <v>-2.7738</v>
      </c>
      <c r="M33" s="50">
        <v>1</v>
      </c>
      <c r="N33" s="51"/>
      <c r="O33" s="52">
        <f t="shared" si="4"/>
        <v>-15</v>
      </c>
      <c r="P33" s="90">
        <v>1</v>
      </c>
      <c r="Q33" s="99"/>
      <c r="R33" s="52">
        <f t="shared" si="5"/>
        <v>-12.5</v>
      </c>
      <c r="S33" s="50"/>
      <c r="T33" s="53"/>
      <c r="U33" s="77">
        <f t="shared" si="0"/>
        <v>36.759685714285695</v>
      </c>
      <c r="W33" s="89"/>
    </row>
    <row r="34" spans="1:23" ht="12.75">
      <c r="A34" s="2">
        <v>32</v>
      </c>
      <c r="B34" s="131" t="s">
        <v>55</v>
      </c>
      <c r="C34" s="136">
        <f>'2012年3月'!U34</f>
        <v>364.21215320654574</v>
      </c>
      <c r="D34" s="88">
        <v>1</v>
      </c>
      <c r="E34" s="51"/>
      <c r="F34" s="52">
        <f t="shared" si="1"/>
        <v>-14.0476</v>
      </c>
      <c r="G34" s="88">
        <v>1</v>
      </c>
      <c r="H34" s="51"/>
      <c r="I34" s="52">
        <f t="shared" si="2"/>
        <v>-10.7143</v>
      </c>
      <c r="J34" s="88">
        <v>1</v>
      </c>
      <c r="K34" s="51"/>
      <c r="L34" s="52">
        <f t="shared" si="3"/>
        <v>-2.7738</v>
      </c>
      <c r="M34" s="50">
        <v>1</v>
      </c>
      <c r="N34" s="51"/>
      <c r="O34" s="52">
        <f t="shared" si="4"/>
        <v>-15</v>
      </c>
      <c r="P34" s="90">
        <v>1</v>
      </c>
      <c r="Q34" s="99"/>
      <c r="R34" s="52">
        <f t="shared" si="5"/>
        <v>-12.5</v>
      </c>
      <c r="S34" s="54"/>
      <c r="T34" s="53"/>
      <c r="U34" s="77">
        <f t="shared" si="0"/>
        <v>309.1764532065458</v>
      </c>
      <c r="W34" s="89"/>
    </row>
    <row r="35" spans="1:23" ht="12.75">
      <c r="A35" s="2">
        <v>33</v>
      </c>
      <c r="B35" s="131" t="s">
        <v>26</v>
      </c>
      <c r="C35" s="136">
        <f>'2012年3月'!U35</f>
        <v>107.02196749226</v>
      </c>
      <c r="D35" s="50">
        <v>1</v>
      </c>
      <c r="E35" s="51"/>
      <c r="F35" s="52">
        <f t="shared" si="1"/>
        <v>-14.0476</v>
      </c>
      <c r="G35" s="50">
        <v>1</v>
      </c>
      <c r="H35" s="51"/>
      <c r="I35" s="52">
        <f t="shared" si="2"/>
        <v>-10.7143</v>
      </c>
      <c r="J35" s="50">
        <v>1</v>
      </c>
      <c r="K35" s="51"/>
      <c r="L35" s="52">
        <f t="shared" si="3"/>
        <v>-2.7738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-12.5</v>
      </c>
      <c r="S35" s="50"/>
      <c r="T35" s="53"/>
      <c r="U35" s="77">
        <f aca="true" t="shared" si="6" ref="U35:U53">C35+E35+F35+H35+I35+K35+L35+N35+O35+T35+Q35+R35</f>
        <v>51.98626749226001</v>
      </c>
      <c r="W35" s="89"/>
    </row>
    <row r="36" spans="1:23" ht="12.75">
      <c r="A36" s="2">
        <v>34</v>
      </c>
      <c r="B36" s="127"/>
      <c r="C36" s="128">
        <f>'2012年3月'!U36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127" t="s">
        <v>27</v>
      </c>
      <c r="C37" s="128">
        <f>'2012年3月'!U37</f>
        <v>410.0168532065458</v>
      </c>
      <c r="D37" s="56">
        <v>1</v>
      </c>
      <c r="E37" s="57"/>
      <c r="F37" s="58">
        <f t="shared" si="1"/>
        <v>-14.0476</v>
      </c>
      <c r="G37" s="56">
        <v>1</v>
      </c>
      <c r="H37" s="57"/>
      <c r="I37" s="58">
        <f t="shared" si="2"/>
        <v>-10.7143</v>
      </c>
      <c r="J37" s="56">
        <v>1</v>
      </c>
      <c r="K37" s="57"/>
      <c r="L37" s="58">
        <f t="shared" si="3"/>
        <v>-2.7738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-12.5</v>
      </c>
      <c r="S37" s="56"/>
      <c r="T37" s="59"/>
      <c r="U37" s="77">
        <f t="shared" si="6"/>
        <v>354.98115320654586</v>
      </c>
      <c r="V37" s="28"/>
      <c r="W37" s="89"/>
    </row>
    <row r="38" spans="1:23" ht="12.75">
      <c r="A38" s="2">
        <v>36</v>
      </c>
      <c r="B38" s="127" t="s">
        <v>28</v>
      </c>
      <c r="C38" s="128">
        <f>'2012年3月'!U38</f>
        <v>-8.870746793454227</v>
      </c>
      <c r="D38" s="56">
        <v>1</v>
      </c>
      <c r="E38" s="57"/>
      <c r="F38" s="58">
        <f t="shared" si="1"/>
        <v>-14.0476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-2.7738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-12.5</v>
      </c>
      <c r="S38" s="60"/>
      <c r="T38" s="59"/>
      <c r="U38" s="77">
        <f t="shared" si="6"/>
        <v>-53.19214679345423</v>
      </c>
      <c r="W38" s="89"/>
    </row>
    <row r="39" spans="1:23" ht="12.75">
      <c r="A39" s="2">
        <v>37</v>
      </c>
      <c r="B39" s="132"/>
      <c r="C39" s="139">
        <f>'2012年3月'!U39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132"/>
      <c r="C40" s="139">
        <f>'2012年3月'!U40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132"/>
      <c r="C41" s="139">
        <f>'2012年3月'!U41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129"/>
      <c r="C42" s="140">
        <f>'2012年3月'!U42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129" t="s">
        <v>30</v>
      </c>
      <c r="C43" s="140">
        <f>'2012年3月'!U43</f>
        <v>19.90082689075632</v>
      </c>
      <c r="D43" s="65">
        <v>1</v>
      </c>
      <c r="E43" s="74"/>
      <c r="F43" s="64">
        <f t="shared" si="1"/>
        <v>-14.0476</v>
      </c>
      <c r="G43" s="65">
        <v>1</v>
      </c>
      <c r="H43" s="74"/>
      <c r="I43" s="64">
        <f t="shared" si="2"/>
        <v>-10.7143</v>
      </c>
      <c r="J43" s="65">
        <v>1</v>
      </c>
      <c r="K43" s="74"/>
      <c r="L43" s="64">
        <f t="shared" si="3"/>
        <v>-2.7738</v>
      </c>
      <c r="M43" s="65"/>
      <c r="N43" s="74"/>
      <c r="O43" s="64">
        <f t="shared" si="4"/>
        <v>0</v>
      </c>
      <c r="P43" s="97">
        <v>1</v>
      </c>
      <c r="Q43" s="106"/>
      <c r="R43" s="64">
        <f t="shared" si="5"/>
        <v>-12.5</v>
      </c>
      <c r="S43" s="65"/>
      <c r="T43" s="66"/>
      <c r="U43" s="77">
        <f t="shared" si="6"/>
        <v>-20.134873109243678</v>
      </c>
      <c r="W43" s="89"/>
    </row>
    <row r="44" spans="1:23" ht="12.75">
      <c r="A44" s="2">
        <v>42</v>
      </c>
      <c r="B44" s="129" t="s">
        <v>57</v>
      </c>
      <c r="C44" s="140">
        <f>'2012年3月'!U44</f>
        <v>28.201126890756242</v>
      </c>
      <c r="D44" s="65">
        <v>1</v>
      </c>
      <c r="E44" s="74"/>
      <c r="F44" s="64">
        <f t="shared" si="1"/>
        <v>-14.0476</v>
      </c>
      <c r="G44" s="65">
        <v>1</v>
      </c>
      <c r="H44" s="74">
        <v>200</v>
      </c>
      <c r="I44" s="64">
        <f t="shared" si="2"/>
        <v>-10.7143</v>
      </c>
      <c r="J44" s="65">
        <v>1</v>
      </c>
      <c r="K44" s="74"/>
      <c r="L44" s="64">
        <f t="shared" si="3"/>
        <v>-2.7738</v>
      </c>
      <c r="M44" s="65">
        <v>1</v>
      </c>
      <c r="N44" s="74"/>
      <c r="O44" s="64">
        <f t="shared" si="4"/>
        <v>-15</v>
      </c>
      <c r="P44" s="97"/>
      <c r="Q44" s="106"/>
      <c r="R44" s="64">
        <f t="shared" si="5"/>
        <v>0</v>
      </c>
      <c r="S44" s="65"/>
      <c r="T44" s="66"/>
      <c r="U44" s="77">
        <f t="shared" si="6"/>
        <v>185.66542689075624</v>
      </c>
      <c r="W44" s="89"/>
    </row>
    <row r="45" spans="1:23" ht="12.75">
      <c r="A45" s="2">
        <v>43</v>
      </c>
      <c r="B45" s="130"/>
      <c r="C45" s="138">
        <f>'2012年3月'!U45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133">
        <v>9631</v>
      </c>
      <c r="C46" s="138">
        <f>'2012年3月'!U46</f>
        <v>55.6911</v>
      </c>
      <c r="D46" s="44">
        <v>1</v>
      </c>
      <c r="E46" s="75"/>
      <c r="F46" s="46">
        <f t="shared" si="1"/>
        <v>-14.0476</v>
      </c>
      <c r="G46" s="44"/>
      <c r="H46" s="75"/>
      <c r="I46" s="46">
        <f t="shared" si="2"/>
        <v>0</v>
      </c>
      <c r="J46" s="44">
        <v>1</v>
      </c>
      <c r="K46" s="75"/>
      <c r="L46" s="46">
        <f t="shared" si="3"/>
        <v>-2.7738</v>
      </c>
      <c r="M46" s="44"/>
      <c r="N46" s="75"/>
      <c r="O46" s="46">
        <f t="shared" si="4"/>
        <v>0</v>
      </c>
      <c r="P46" s="96">
        <v>1</v>
      </c>
      <c r="Q46" s="105"/>
      <c r="R46" s="46">
        <f t="shared" si="5"/>
        <v>-12.5</v>
      </c>
      <c r="S46" s="44"/>
      <c r="T46" s="47"/>
      <c r="U46" s="77">
        <f t="shared" si="6"/>
        <v>26.3697</v>
      </c>
      <c r="W46" s="89"/>
    </row>
    <row r="47" spans="1:23" ht="12.75">
      <c r="A47" s="2">
        <v>45</v>
      </c>
      <c r="B47" s="130" t="s">
        <v>124</v>
      </c>
      <c r="C47" s="138">
        <f>'2012年3月'!U47</f>
        <v>18.945653206545764</v>
      </c>
      <c r="D47" s="48">
        <v>1</v>
      </c>
      <c r="E47" s="75"/>
      <c r="F47" s="46">
        <f t="shared" si="1"/>
        <v>-14.0476</v>
      </c>
      <c r="G47" s="48"/>
      <c r="H47" s="75"/>
      <c r="I47" s="46">
        <f t="shared" si="2"/>
        <v>0</v>
      </c>
      <c r="J47" s="48">
        <v>1</v>
      </c>
      <c r="K47" s="75"/>
      <c r="L47" s="46">
        <f t="shared" si="3"/>
        <v>-2.7738</v>
      </c>
      <c r="M47" s="48">
        <v>1</v>
      </c>
      <c r="N47" s="75"/>
      <c r="O47" s="46">
        <f t="shared" si="4"/>
        <v>-15</v>
      </c>
      <c r="P47" s="98">
        <v>1</v>
      </c>
      <c r="Q47" s="107"/>
      <c r="R47" s="46">
        <f t="shared" si="5"/>
        <v>-12.5</v>
      </c>
      <c r="S47" s="48"/>
      <c r="T47" s="47"/>
      <c r="U47" s="77">
        <f t="shared" si="6"/>
        <v>-25.375746793454233</v>
      </c>
      <c r="W47" s="89"/>
    </row>
    <row r="48" spans="1:23" ht="12.75">
      <c r="A48" s="2">
        <v>46</v>
      </c>
      <c r="B48" s="78"/>
      <c r="C48" s="136">
        <f>'2012年3月'!U48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136">
        <f>'2012年3月'!U49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136">
        <f>'2012年3月'!U50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128">
        <f>'2012年3月'!U51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35</v>
      </c>
      <c r="C52" s="128">
        <f>'2012年3月'!U52</f>
        <v>76.73379999999999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-2.7738</v>
      </c>
      <c r="M52" s="60"/>
      <c r="N52" s="73"/>
      <c r="O52" s="58">
        <f t="shared" si="4"/>
        <v>0</v>
      </c>
      <c r="P52" s="60">
        <v>1</v>
      </c>
      <c r="Q52" s="73"/>
      <c r="R52" s="58">
        <f t="shared" si="5"/>
        <v>-12.5</v>
      </c>
      <c r="S52" s="56"/>
      <c r="T52" s="59"/>
      <c r="U52" s="77">
        <f t="shared" si="6"/>
        <v>61.459999999999994</v>
      </c>
      <c r="W52" s="89"/>
    </row>
    <row r="53" spans="1:23" ht="12.75">
      <c r="A53" s="2">
        <v>51</v>
      </c>
      <c r="B53" s="87"/>
      <c r="C53" s="128">
        <f>'2012年3月'!U53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14.047619047619047</v>
      </c>
      <c r="G55" s="1">
        <f>SUM(G3:G53)</f>
        <v>21</v>
      </c>
      <c r="I55" s="1">
        <f>H66/G55</f>
        <v>10.714285714285714</v>
      </c>
      <c r="J55" s="1">
        <f>SUM(J3:J53)</f>
        <v>34</v>
      </c>
      <c r="L55" s="1">
        <f>K66/J55</f>
        <v>2.773823529411765</v>
      </c>
      <c r="M55" s="1">
        <f>SUM(M3:M53)</f>
        <v>20</v>
      </c>
      <c r="O55" s="1">
        <f>N66/M55</f>
        <v>15</v>
      </c>
      <c r="P55" s="1">
        <f>SUM(P3:P53)</f>
        <v>24</v>
      </c>
      <c r="R55" s="1">
        <f>Q66/P55</f>
        <v>12.5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-225.00030000000004</v>
      </c>
      <c r="K57" s="28" t="s">
        <v>38</v>
      </c>
      <c r="L57" s="1">
        <f>SUM(L3:L53)</f>
        <v>-94.30919999999996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-300</v>
      </c>
      <c r="U57" s="19"/>
    </row>
    <row r="58" spans="2:21" ht="12.75">
      <c r="B58" s="29" t="s">
        <v>39</v>
      </c>
      <c r="C58" s="27">
        <f>SUM(C3:C53)</f>
        <v>3200.0098000000003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2700.000000000001</v>
      </c>
      <c r="W59" s="89">
        <f>U59</f>
        <v>2700.000000000001</v>
      </c>
    </row>
    <row r="60" spans="4:23" ht="12.75" customHeight="1">
      <c r="D60" s="147" t="s">
        <v>391</v>
      </c>
      <c r="E60" s="148"/>
      <c r="F60" s="149"/>
      <c r="G60" s="147" t="s">
        <v>395</v>
      </c>
      <c r="H60" s="148"/>
      <c r="I60" s="149"/>
      <c r="J60" s="158" t="s">
        <v>398</v>
      </c>
      <c r="K60" s="148"/>
      <c r="L60" s="149"/>
      <c r="M60" s="147" t="s">
        <v>396</v>
      </c>
      <c r="N60" s="148"/>
      <c r="O60" s="149"/>
      <c r="P60" s="147" t="s">
        <v>397</v>
      </c>
      <c r="Q60" s="148"/>
      <c r="R60" s="149"/>
      <c r="S60" s="153"/>
      <c r="T60" s="153"/>
      <c r="W60" s="89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225</v>
      </c>
      <c r="I66" s="37"/>
      <c r="J66" s="38" t="s">
        <v>40</v>
      </c>
      <c r="K66" s="36">
        <f>K68-K84-K93</f>
        <v>94.31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225</v>
      </c>
      <c r="I68" s="40"/>
      <c r="J68" s="85" t="s">
        <v>41</v>
      </c>
      <c r="K68" s="39">
        <v>94.31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392</v>
      </c>
      <c r="E74" s="145"/>
      <c r="F74" s="145"/>
      <c r="G74" s="145"/>
      <c r="H74" s="145"/>
      <c r="I74" s="145"/>
      <c r="J74" s="159" t="s">
        <v>400</v>
      </c>
      <c r="K74" s="159"/>
      <c r="L74" s="159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59"/>
      <c r="K75" s="159"/>
      <c r="L75" s="159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59"/>
      <c r="K76" s="159"/>
      <c r="L76" s="159"/>
      <c r="M76" s="145"/>
      <c r="N76" s="145"/>
      <c r="O76" s="145"/>
      <c r="P76" s="145"/>
      <c r="Q76" s="145"/>
      <c r="R76" s="145"/>
    </row>
    <row r="77" spans="4:18" ht="14.25" customHeight="1">
      <c r="D77" s="145" t="s">
        <v>393</v>
      </c>
      <c r="E77" s="145"/>
      <c r="F77" s="145"/>
      <c r="G77" s="145"/>
      <c r="H77" s="145"/>
      <c r="I77" s="145"/>
      <c r="J77" s="145" t="s">
        <v>399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394</v>
      </c>
      <c r="E89" s="28">
        <v>5</v>
      </c>
      <c r="G89" s="109"/>
      <c r="J89" s="109"/>
      <c r="K89" s="28"/>
      <c r="M89" s="109"/>
      <c r="P89" s="109"/>
    </row>
    <row r="90" ht="12.75">
      <c r="M90" s="28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164</v>
      </c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G80:I80"/>
    <mergeCell ref="J80:L80"/>
    <mergeCell ref="M80:O80"/>
    <mergeCell ref="P80:R80"/>
    <mergeCell ref="M87:O87"/>
    <mergeCell ref="J87:L87"/>
    <mergeCell ref="G87:I87"/>
    <mergeCell ref="D87:F87"/>
    <mergeCell ref="J72:L72"/>
    <mergeCell ref="D74:F76"/>
    <mergeCell ref="J74:L76"/>
    <mergeCell ref="M74:O76"/>
    <mergeCell ref="P74:R76"/>
    <mergeCell ref="D77:F79"/>
    <mergeCell ref="G77:I79"/>
    <mergeCell ref="J77:L79"/>
    <mergeCell ref="M77:O79"/>
    <mergeCell ref="P77:R79"/>
    <mergeCell ref="G74:I76"/>
    <mergeCell ref="D1:F1"/>
    <mergeCell ref="S59:T59"/>
    <mergeCell ref="D60:F64"/>
    <mergeCell ref="G60:I64"/>
    <mergeCell ref="J60:L64"/>
    <mergeCell ref="M60:O64"/>
    <mergeCell ref="P60:R64"/>
    <mergeCell ref="S60:T64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38" sqref="K3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41035</v>
      </c>
      <c r="E1" s="155"/>
      <c r="F1" s="156"/>
      <c r="G1" s="16"/>
      <c r="H1" s="24">
        <v>41042</v>
      </c>
      <c r="I1" s="17"/>
      <c r="J1" s="30"/>
      <c r="K1" s="24">
        <v>41049</v>
      </c>
      <c r="L1" s="31"/>
      <c r="M1" s="16"/>
      <c r="N1" s="24">
        <v>41056</v>
      </c>
      <c r="O1" s="17"/>
      <c r="P1" s="16"/>
      <c r="Q1" s="24">
        <v>41063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'2012年4月'!U3</f>
        <v>27.50369999999998</v>
      </c>
      <c r="D3" s="50">
        <v>1</v>
      </c>
      <c r="E3" s="51"/>
      <c r="F3" s="52">
        <f>-12*D3</f>
        <v>-12</v>
      </c>
      <c r="G3" s="50">
        <v>1</v>
      </c>
      <c r="H3" s="51">
        <v>100</v>
      </c>
      <c r="I3" s="52">
        <f>-12*G3</f>
        <v>-12</v>
      </c>
      <c r="J3" s="50">
        <v>1</v>
      </c>
      <c r="K3" s="51"/>
      <c r="L3" s="52">
        <f>-12.5*J3</f>
        <v>-12.5</v>
      </c>
      <c r="M3" s="50"/>
      <c r="N3" s="51"/>
      <c r="O3" s="52"/>
      <c r="P3" s="90"/>
      <c r="Q3" s="99"/>
      <c r="R3" s="52"/>
      <c r="S3" s="50"/>
      <c r="T3" s="53"/>
      <c r="U3" s="77">
        <f aca="true" t="shared" si="0" ref="U3:U34">C3+E3+F3+H3+I3+K3+L3+N3+O3+T3+Q3+R3</f>
        <v>91.00369999999998</v>
      </c>
      <c r="W3" s="89"/>
    </row>
    <row r="4" spans="1:23" ht="12.75">
      <c r="A4" s="2">
        <v>2</v>
      </c>
      <c r="B4" s="76" t="s">
        <v>3</v>
      </c>
      <c r="C4" s="124">
        <f>'2012年4月'!U4</f>
        <v>4.675053206545769</v>
      </c>
      <c r="D4" s="50">
        <v>1</v>
      </c>
      <c r="E4" s="51">
        <v>200</v>
      </c>
      <c r="F4" s="52">
        <f aca="true" t="shared" si="1" ref="F4:F53">-12*D4</f>
        <v>-12</v>
      </c>
      <c r="G4" s="50">
        <v>1</v>
      </c>
      <c r="H4" s="51"/>
      <c r="I4" s="52">
        <f aca="true" t="shared" si="2" ref="I4:I53">-12*G4</f>
        <v>-12</v>
      </c>
      <c r="J4" s="50">
        <v>1</v>
      </c>
      <c r="K4" s="51"/>
      <c r="L4" s="52">
        <f aca="true" t="shared" si="3" ref="L4:L53">-12.5*J4</f>
        <v>-12.5</v>
      </c>
      <c r="M4" s="50"/>
      <c r="N4" s="51"/>
      <c r="O4" s="52"/>
      <c r="P4" s="90"/>
      <c r="Q4" s="99"/>
      <c r="R4" s="52"/>
      <c r="S4" s="54"/>
      <c r="T4" s="53"/>
      <c r="U4" s="77">
        <f t="shared" si="0"/>
        <v>168.17505320654578</v>
      </c>
      <c r="W4" s="89"/>
    </row>
    <row r="5" spans="1:23" ht="12.75">
      <c r="A5" s="2">
        <v>3</v>
      </c>
      <c r="B5" s="78"/>
      <c r="C5" s="124">
        <f>'2012年4月'!U5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/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127" t="s">
        <v>12</v>
      </c>
      <c r="C6" s="128">
        <f>'2012年4月'!U6</f>
        <v>53.132999999999996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/>
      <c r="P6" s="91"/>
      <c r="Q6" s="100"/>
      <c r="R6" s="58"/>
      <c r="S6" s="60"/>
      <c r="T6" s="59"/>
      <c r="U6" s="77">
        <f t="shared" si="0"/>
        <v>53.132999999999996</v>
      </c>
      <c r="W6" s="89"/>
    </row>
    <row r="7" spans="1:23" ht="12.75">
      <c r="A7" s="2">
        <v>5</v>
      </c>
      <c r="B7" s="127" t="s">
        <v>45</v>
      </c>
      <c r="C7" s="128">
        <f>'2012年4月'!U7</f>
        <v>21.741612030075167</v>
      </c>
      <c r="D7" s="56">
        <v>1</v>
      </c>
      <c r="E7" s="57"/>
      <c r="F7" s="58">
        <f t="shared" si="1"/>
        <v>-12</v>
      </c>
      <c r="G7" s="56">
        <v>1</v>
      </c>
      <c r="H7" s="57"/>
      <c r="I7" s="58">
        <f t="shared" si="2"/>
        <v>-12</v>
      </c>
      <c r="J7" s="56">
        <v>1</v>
      </c>
      <c r="K7" s="57"/>
      <c r="L7" s="58">
        <f t="shared" si="3"/>
        <v>-12.5</v>
      </c>
      <c r="M7" s="56"/>
      <c r="N7" s="57"/>
      <c r="O7" s="58"/>
      <c r="P7" s="92"/>
      <c r="Q7" s="101"/>
      <c r="R7" s="58"/>
      <c r="S7" s="56"/>
      <c r="T7" s="59"/>
      <c r="U7" s="77">
        <f t="shared" si="0"/>
        <v>-14.758387969924833</v>
      </c>
      <c r="W7" s="89"/>
    </row>
    <row r="8" spans="1:23" ht="12.75">
      <c r="A8" s="2">
        <v>6</v>
      </c>
      <c r="B8" s="127" t="s">
        <v>183</v>
      </c>
      <c r="C8" s="128">
        <f>'2012年4月'!U8</f>
        <v>134.66781203007523</v>
      </c>
      <c r="D8" s="56">
        <v>1</v>
      </c>
      <c r="E8" s="57"/>
      <c r="F8" s="58">
        <f t="shared" si="1"/>
        <v>-12</v>
      </c>
      <c r="G8" s="56">
        <v>1</v>
      </c>
      <c r="H8" s="57"/>
      <c r="I8" s="58">
        <f t="shared" si="2"/>
        <v>-12</v>
      </c>
      <c r="J8" s="56">
        <v>1</v>
      </c>
      <c r="K8" s="57"/>
      <c r="L8" s="58">
        <f t="shared" si="3"/>
        <v>-12.5</v>
      </c>
      <c r="M8" s="56"/>
      <c r="N8" s="57"/>
      <c r="O8" s="58"/>
      <c r="P8" s="92"/>
      <c r="Q8" s="101"/>
      <c r="R8" s="58"/>
      <c r="S8" s="60"/>
      <c r="T8" s="59"/>
      <c r="U8" s="77">
        <f t="shared" si="0"/>
        <v>98.16781203007523</v>
      </c>
      <c r="W8" s="89"/>
    </row>
    <row r="9" spans="1:23" ht="12.75">
      <c r="A9" s="2">
        <v>7</v>
      </c>
      <c r="B9" s="132" t="s">
        <v>384</v>
      </c>
      <c r="C9" s="139">
        <f>'2012年4月'!U9</f>
        <v>86.48092631578947</v>
      </c>
      <c r="D9" s="68">
        <v>1</v>
      </c>
      <c r="E9" s="69"/>
      <c r="F9" s="70">
        <f t="shared" si="1"/>
        <v>-12</v>
      </c>
      <c r="G9" s="68">
        <v>1</v>
      </c>
      <c r="H9" s="69"/>
      <c r="I9" s="70">
        <f t="shared" si="2"/>
        <v>-12</v>
      </c>
      <c r="J9" s="68">
        <v>1</v>
      </c>
      <c r="K9" s="69"/>
      <c r="L9" s="70">
        <f t="shared" si="3"/>
        <v>-12.5</v>
      </c>
      <c r="M9" s="68"/>
      <c r="N9" s="69"/>
      <c r="O9" s="70"/>
      <c r="P9" s="93"/>
      <c r="Q9" s="102"/>
      <c r="R9" s="70"/>
      <c r="S9" s="68"/>
      <c r="T9" s="71"/>
      <c r="U9" s="77">
        <f t="shared" si="0"/>
        <v>49.980926315789475</v>
      </c>
      <c r="W9" s="89"/>
    </row>
    <row r="10" spans="1:23" ht="12.75">
      <c r="A10" s="2">
        <v>8</v>
      </c>
      <c r="B10" s="132" t="s">
        <v>47</v>
      </c>
      <c r="C10" s="139">
        <f>'2012年4月'!U10</f>
        <v>152.85585320654576</v>
      </c>
      <c r="D10" s="72">
        <v>1</v>
      </c>
      <c r="E10" s="69"/>
      <c r="F10" s="70">
        <f t="shared" si="1"/>
        <v>-12</v>
      </c>
      <c r="G10" s="72">
        <v>1</v>
      </c>
      <c r="H10" s="69"/>
      <c r="I10" s="70">
        <f t="shared" si="2"/>
        <v>-12</v>
      </c>
      <c r="J10" s="72">
        <v>1</v>
      </c>
      <c r="K10" s="69"/>
      <c r="L10" s="70">
        <f t="shared" si="3"/>
        <v>-12.5</v>
      </c>
      <c r="M10" s="72"/>
      <c r="N10" s="69"/>
      <c r="O10" s="70"/>
      <c r="P10" s="94"/>
      <c r="Q10" s="103"/>
      <c r="R10" s="70"/>
      <c r="S10" s="72"/>
      <c r="T10" s="71"/>
      <c r="U10" s="77">
        <f t="shared" si="0"/>
        <v>116.35585320654576</v>
      </c>
      <c r="W10" s="89"/>
    </row>
    <row r="11" spans="1:23" ht="12.75">
      <c r="A11" s="2">
        <v>9</v>
      </c>
      <c r="B11" s="132"/>
      <c r="C11" s="139">
        <f>'2012年4月'!U11</f>
        <v>0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/>
      <c r="P11" s="93"/>
      <c r="Q11" s="102"/>
      <c r="R11" s="70"/>
      <c r="S11" s="68"/>
      <c r="T11" s="71"/>
      <c r="U11" s="77">
        <f t="shared" si="0"/>
        <v>0</v>
      </c>
      <c r="W11" s="89"/>
    </row>
    <row r="12" spans="1:23" ht="12.75">
      <c r="A12" s="2">
        <v>10</v>
      </c>
      <c r="B12" s="129" t="s">
        <v>49</v>
      </c>
      <c r="C12" s="140">
        <f>'2012年4月'!U12</f>
        <v>195.06573892083154</v>
      </c>
      <c r="D12" s="62">
        <v>2</v>
      </c>
      <c r="E12" s="63"/>
      <c r="F12" s="64">
        <f t="shared" si="1"/>
        <v>-24</v>
      </c>
      <c r="G12" s="62">
        <v>2</v>
      </c>
      <c r="H12" s="63"/>
      <c r="I12" s="64">
        <f t="shared" si="2"/>
        <v>-24</v>
      </c>
      <c r="J12" s="62">
        <v>1</v>
      </c>
      <c r="K12" s="63"/>
      <c r="L12" s="64">
        <f t="shared" si="3"/>
        <v>-12.5</v>
      </c>
      <c r="M12" s="62"/>
      <c r="N12" s="63"/>
      <c r="O12" s="64"/>
      <c r="P12" s="95"/>
      <c r="Q12" s="104"/>
      <c r="R12" s="64"/>
      <c r="S12" s="62"/>
      <c r="T12" s="66"/>
      <c r="U12" s="77">
        <f t="shared" si="0"/>
        <v>134.56573892083154</v>
      </c>
      <c r="W12" s="89"/>
    </row>
    <row r="13" spans="1:23" ht="12.75">
      <c r="A13" s="2">
        <v>11</v>
      </c>
      <c r="B13" s="129" t="s">
        <v>373</v>
      </c>
      <c r="C13" s="140">
        <f>'2012年4月'!U13</f>
        <v>79.6074268907563</v>
      </c>
      <c r="D13" s="62">
        <v>1</v>
      </c>
      <c r="E13" s="63"/>
      <c r="F13" s="64">
        <f t="shared" si="1"/>
        <v>-12</v>
      </c>
      <c r="G13" s="62">
        <v>1</v>
      </c>
      <c r="H13" s="63"/>
      <c r="I13" s="64">
        <f t="shared" si="2"/>
        <v>-12</v>
      </c>
      <c r="J13" s="62"/>
      <c r="K13" s="63"/>
      <c r="L13" s="64">
        <f t="shared" si="3"/>
        <v>0</v>
      </c>
      <c r="M13" s="62"/>
      <c r="N13" s="116"/>
      <c r="O13" s="64"/>
      <c r="P13" s="95"/>
      <c r="Q13" s="104"/>
      <c r="R13" s="64"/>
      <c r="S13" s="65"/>
      <c r="T13" s="66"/>
      <c r="U13" s="77">
        <f t="shared" si="0"/>
        <v>55.6074268907563</v>
      </c>
      <c r="W13" s="89"/>
    </row>
    <row r="14" spans="1:23" ht="12.75">
      <c r="A14" s="2">
        <v>12</v>
      </c>
      <c r="B14" s="129" t="s">
        <v>14</v>
      </c>
      <c r="C14" s="140">
        <f>'2012年4月'!U14</f>
        <v>8.388400000000011</v>
      </c>
      <c r="D14" s="62">
        <v>1</v>
      </c>
      <c r="E14" s="63"/>
      <c r="F14" s="64">
        <f t="shared" si="1"/>
        <v>-12</v>
      </c>
      <c r="G14" s="62">
        <v>1</v>
      </c>
      <c r="H14" s="63">
        <v>100</v>
      </c>
      <c r="I14" s="64">
        <f t="shared" si="2"/>
        <v>-12</v>
      </c>
      <c r="J14" s="62">
        <v>1</v>
      </c>
      <c r="K14" s="63"/>
      <c r="L14" s="64">
        <f t="shared" si="3"/>
        <v>-12.5</v>
      </c>
      <c r="M14" s="62"/>
      <c r="N14" s="63"/>
      <c r="O14" s="64"/>
      <c r="P14" s="95"/>
      <c r="Q14" s="104"/>
      <c r="R14" s="64"/>
      <c r="S14" s="62"/>
      <c r="T14" s="66"/>
      <c r="U14" s="77">
        <f t="shared" si="0"/>
        <v>71.88840000000002</v>
      </c>
      <c r="W14" s="89"/>
    </row>
    <row r="15" spans="1:23" ht="12.75">
      <c r="A15" s="2">
        <v>13</v>
      </c>
      <c r="B15" s="130" t="s">
        <v>15</v>
      </c>
      <c r="C15" s="138">
        <f>'2012年4月'!U15</f>
        <v>125.28858571428569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-12</v>
      </c>
      <c r="J15" s="44"/>
      <c r="K15" s="45"/>
      <c r="L15" s="46">
        <f t="shared" si="3"/>
        <v>0</v>
      </c>
      <c r="M15" s="44"/>
      <c r="N15" s="45"/>
      <c r="O15" s="46"/>
      <c r="P15" s="96"/>
      <c r="Q15" s="105"/>
      <c r="R15" s="46"/>
      <c r="S15" s="48"/>
      <c r="T15" s="47"/>
      <c r="U15" s="77">
        <f t="shared" si="0"/>
        <v>113.28858571428569</v>
      </c>
      <c r="W15" s="89"/>
    </row>
    <row r="16" spans="1:23" ht="12.75">
      <c r="A16" s="2">
        <v>14</v>
      </c>
      <c r="B16" s="130" t="s">
        <v>50</v>
      </c>
      <c r="C16" s="138">
        <f>'2012年4月'!U16</f>
        <v>77.70645320654576</v>
      </c>
      <c r="D16" s="44">
        <v>1</v>
      </c>
      <c r="E16" s="45"/>
      <c r="F16" s="46">
        <f t="shared" si="1"/>
        <v>-12</v>
      </c>
      <c r="G16" s="44">
        <v>1</v>
      </c>
      <c r="H16" s="45"/>
      <c r="I16" s="46">
        <f t="shared" si="2"/>
        <v>-12</v>
      </c>
      <c r="J16" s="44"/>
      <c r="K16" s="45"/>
      <c r="L16" s="46">
        <f t="shared" si="3"/>
        <v>0</v>
      </c>
      <c r="M16" s="44"/>
      <c r="N16" s="45"/>
      <c r="O16" s="46"/>
      <c r="P16" s="96"/>
      <c r="Q16" s="105"/>
      <c r="R16" s="46"/>
      <c r="S16" s="44"/>
      <c r="T16" s="47"/>
      <c r="U16" s="77">
        <f t="shared" si="0"/>
        <v>53.70645320654576</v>
      </c>
      <c r="W16" s="89"/>
    </row>
    <row r="17" spans="1:23" ht="12.75">
      <c r="A17" s="2">
        <v>15</v>
      </c>
      <c r="B17" s="130" t="s">
        <v>184</v>
      </c>
      <c r="C17" s="138">
        <f>'2012年4月'!U17</f>
        <v>104.6011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/>
      <c r="P17" s="96"/>
      <c r="Q17" s="105"/>
      <c r="R17" s="46"/>
      <c r="S17" s="48"/>
      <c r="T17" s="47"/>
      <c r="U17" s="77">
        <f t="shared" si="0"/>
        <v>104.6011</v>
      </c>
      <c r="W17" s="89"/>
    </row>
    <row r="18" spans="1:23" ht="12.75">
      <c r="A18" s="2">
        <v>16</v>
      </c>
      <c r="B18" s="131" t="s">
        <v>51</v>
      </c>
      <c r="C18" s="136">
        <f>'2012年4月'!U18</f>
        <v>37.39171203007517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-12</v>
      </c>
      <c r="J18" s="50"/>
      <c r="K18" s="51"/>
      <c r="L18" s="52">
        <f t="shared" si="3"/>
        <v>0</v>
      </c>
      <c r="M18" s="50"/>
      <c r="N18" s="51"/>
      <c r="O18" s="52"/>
      <c r="P18" s="90"/>
      <c r="Q18" s="99"/>
      <c r="R18" s="52"/>
      <c r="S18" s="50"/>
      <c r="T18" s="53"/>
      <c r="U18" s="77">
        <f t="shared" si="0"/>
        <v>25.39171203007517</v>
      </c>
      <c r="W18" s="89"/>
    </row>
    <row r="19" spans="1:23" ht="12.75">
      <c r="A19" s="2">
        <v>17</v>
      </c>
      <c r="B19" s="131" t="s">
        <v>67</v>
      </c>
      <c r="C19" s="136">
        <f>'2012年4月'!U19</f>
        <v>27.06956749226005</v>
      </c>
      <c r="D19" s="50">
        <v>1</v>
      </c>
      <c r="E19" s="51"/>
      <c r="F19" s="52">
        <f t="shared" si="1"/>
        <v>-12</v>
      </c>
      <c r="G19" s="50">
        <v>1</v>
      </c>
      <c r="H19" s="51"/>
      <c r="I19" s="52">
        <f t="shared" si="2"/>
        <v>-12</v>
      </c>
      <c r="J19" s="50">
        <v>1</v>
      </c>
      <c r="K19" s="51">
        <v>100</v>
      </c>
      <c r="L19" s="52">
        <f t="shared" si="3"/>
        <v>-12.5</v>
      </c>
      <c r="M19" s="50"/>
      <c r="N19" s="51"/>
      <c r="O19" s="52"/>
      <c r="P19" s="90"/>
      <c r="Q19" s="99"/>
      <c r="R19" s="52"/>
      <c r="S19" s="54"/>
      <c r="T19" s="53"/>
      <c r="U19" s="77">
        <f t="shared" si="0"/>
        <v>90.56956749226005</v>
      </c>
      <c r="W19" s="89"/>
    </row>
    <row r="20" spans="1:23" ht="12.75">
      <c r="A20" s="2">
        <v>18</v>
      </c>
      <c r="B20" s="131" t="s">
        <v>16</v>
      </c>
      <c r="C20" s="136">
        <f>'2012年4月'!U20</f>
        <v>109.35480000000001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/>
      <c r="P20" s="90"/>
      <c r="Q20" s="99"/>
      <c r="R20" s="52"/>
      <c r="S20" s="50"/>
      <c r="T20" s="53"/>
      <c r="U20" s="77">
        <f t="shared" si="0"/>
        <v>109.35480000000001</v>
      </c>
      <c r="W20" s="89"/>
    </row>
    <row r="21" spans="1:23" ht="12.75">
      <c r="A21" s="2">
        <v>19</v>
      </c>
      <c r="B21" s="127" t="s">
        <v>52</v>
      </c>
      <c r="C21" s="128">
        <f>'2012年4月'!U21</f>
        <v>99.89694117647058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-12</v>
      </c>
      <c r="J21" s="56">
        <v>1</v>
      </c>
      <c r="K21" s="57"/>
      <c r="L21" s="58">
        <f t="shared" si="3"/>
        <v>-12.5</v>
      </c>
      <c r="M21" s="56"/>
      <c r="N21" s="57"/>
      <c r="O21" s="58"/>
      <c r="P21" s="92"/>
      <c r="Q21" s="101"/>
      <c r="R21" s="58"/>
      <c r="S21" s="60"/>
      <c r="T21" s="59"/>
      <c r="U21" s="77">
        <f t="shared" si="0"/>
        <v>75.39694117647058</v>
      </c>
      <c r="W21" s="89"/>
    </row>
    <row r="22" spans="1:23" ht="12.75">
      <c r="A22" s="2">
        <v>20</v>
      </c>
      <c r="B22" s="127" t="s">
        <v>204</v>
      </c>
      <c r="C22" s="128">
        <f>'2012年4月'!U22</f>
        <v>15.85351203007523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/>
      <c r="P22" s="92"/>
      <c r="Q22" s="101"/>
      <c r="R22" s="58"/>
      <c r="S22" s="56"/>
      <c r="T22" s="59"/>
      <c r="U22" s="77">
        <f t="shared" si="0"/>
        <v>15.85351203007523</v>
      </c>
      <c r="W22" s="89"/>
    </row>
    <row r="23" spans="1:23" ht="12.75">
      <c r="A23" s="2">
        <v>21</v>
      </c>
      <c r="B23" s="127"/>
      <c r="C23" s="128">
        <f>'2012年4月'!U23</f>
        <v>0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/>
      <c r="P23" s="92"/>
      <c r="Q23" s="101"/>
      <c r="R23" s="58"/>
      <c r="S23" s="60"/>
      <c r="T23" s="59"/>
      <c r="U23" s="77">
        <f t="shared" si="0"/>
        <v>0</v>
      </c>
      <c r="W23" s="89"/>
    </row>
    <row r="24" spans="1:23" ht="12.75">
      <c r="A24" s="2">
        <v>22</v>
      </c>
      <c r="B24" s="132" t="s">
        <v>18</v>
      </c>
      <c r="C24" s="139">
        <f>'2012年4月'!U24</f>
        <v>22.718153206545736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-12.5</v>
      </c>
      <c r="M24" s="68"/>
      <c r="N24" s="69"/>
      <c r="O24" s="70"/>
      <c r="P24" s="93"/>
      <c r="Q24" s="102"/>
      <c r="R24" s="70"/>
      <c r="S24" s="68"/>
      <c r="T24" s="71"/>
      <c r="U24" s="77">
        <f t="shared" si="0"/>
        <v>10.218153206545736</v>
      </c>
      <c r="W24" s="89"/>
    </row>
    <row r="25" spans="1:23" ht="12.75">
      <c r="A25" s="2">
        <v>23</v>
      </c>
      <c r="B25" s="132" t="s">
        <v>19</v>
      </c>
      <c r="C25" s="139">
        <f>'2012年4月'!U25</f>
        <v>50.55555320654579</v>
      </c>
      <c r="D25" s="68">
        <v>1</v>
      </c>
      <c r="E25" s="69"/>
      <c r="F25" s="70">
        <f t="shared" si="1"/>
        <v>-12</v>
      </c>
      <c r="G25" s="68">
        <v>1</v>
      </c>
      <c r="H25" s="69"/>
      <c r="I25" s="70">
        <f t="shared" si="2"/>
        <v>-12</v>
      </c>
      <c r="J25" s="68">
        <v>1</v>
      </c>
      <c r="K25" s="69">
        <v>100</v>
      </c>
      <c r="L25" s="70">
        <f t="shared" si="3"/>
        <v>-12.5</v>
      </c>
      <c r="M25" s="68"/>
      <c r="N25" s="69"/>
      <c r="O25" s="70"/>
      <c r="P25" s="93"/>
      <c r="Q25" s="102"/>
      <c r="R25" s="70"/>
      <c r="S25" s="68"/>
      <c r="T25" s="71"/>
      <c r="U25" s="77">
        <f t="shared" si="0"/>
        <v>114.0555532065458</v>
      </c>
      <c r="W25" s="89"/>
    </row>
    <row r="26" spans="1:23" ht="12.75">
      <c r="A26" s="2">
        <v>24</v>
      </c>
      <c r="B26" s="132" t="s">
        <v>20</v>
      </c>
      <c r="C26" s="139">
        <f>'2012年4月'!U26</f>
        <v>144.06025320654575</v>
      </c>
      <c r="D26" s="68">
        <v>1</v>
      </c>
      <c r="E26" s="69"/>
      <c r="F26" s="70">
        <f t="shared" si="1"/>
        <v>-12</v>
      </c>
      <c r="G26" s="68">
        <v>1</v>
      </c>
      <c r="H26" s="69"/>
      <c r="I26" s="70">
        <f t="shared" si="2"/>
        <v>-12</v>
      </c>
      <c r="J26" s="68">
        <v>1</v>
      </c>
      <c r="K26" s="69"/>
      <c r="L26" s="70">
        <f t="shared" si="3"/>
        <v>-12.5</v>
      </c>
      <c r="M26" s="68"/>
      <c r="N26" s="69"/>
      <c r="O26" s="70"/>
      <c r="P26" s="93"/>
      <c r="Q26" s="102"/>
      <c r="R26" s="70"/>
      <c r="S26" s="72"/>
      <c r="T26" s="71"/>
      <c r="U26" s="77">
        <f t="shared" si="0"/>
        <v>107.56025320654575</v>
      </c>
      <c r="W26" s="89"/>
    </row>
    <row r="27" spans="1:23" ht="12.75">
      <c r="A27" s="2">
        <v>25</v>
      </c>
      <c r="B27" s="129" t="s">
        <v>390</v>
      </c>
      <c r="C27" s="140">
        <f>'2012年4月'!U27</f>
        <v>122.34560000000002</v>
      </c>
      <c r="D27" s="62">
        <v>1</v>
      </c>
      <c r="E27" s="74"/>
      <c r="F27" s="64">
        <f t="shared" si="1"/>
        <v>-12</v>
      </c>
      <c r="G27" s="62">
        <v>1</v>
      </c>
      <c r="H27" s="74"/>
      <c r="I27" s="64">
        <f t="shared" si="2"/>
        <v>-12</v>
      </c>
      <c r="J27" s="62"/>
      <c r="K27" s="74"/>
      <c r="L27" s="64">
        <f t="shared" si="3"/>
        <v>0</v>
      </c>
      <c r="M27" s="62"/>
      <c r="N27" s="74"/>
      <c r="O27" s="64"/>
      <c r="P27" s="95"/>
      <c r="Q27" s="104"/>
      <c r="R27" s="64"/>
      <c r="S27" s="62"/>
      <c r="T27" s="66"/>
      <c r="U27" s="77">
        <f t="shared" si="0"/>
        <v>98.34560000000002</v>
      </c>
      <c r="W27" s="89"/>
    </row>
    <row r="28" spans="1:23" ht="12.75">
      <c r="A28" s="2">
        <v>26</v>
      </c>
      <c r="B28" s="129" t="s">
        <v>21</v>
      </c>
      <c r="C28" s="140">
        <f>'2012年4月'!U28</f>
        <v>-3.002700000000005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/>
      <c r="P28" s="97"/>
      <c r="Q28" s="106"/>
      <c r="R28" s="64"/>
      <c r="S28" s="65"/>
      <c r="T28" s="66"/>
      <c r="U28" s="77">
        <f t="shared" si="0"/>
        <v>-3.002700000000005</v>
      </c>
      <c r="W28" s="89"/>
    </row>
    <row r="29" spans="1:23" ht="12.75">
      <c r="A29" s="2">
        <v>27</v>
      </c>
      <c r="B29" s="129"/>
      <c r="C29" s="140">
        <f>'2012年4月'!U29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/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/>
      <c r="C30" s="138">
        <f>'2012年4月'!U30</f>
        <v>7.105427357601002E-15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/>
      <c r="P30" s="98"/>
      <c r="Q30" s="107"/>
      <c r="R30" s="46"/>
      <c r="S30" s="48"/>
      <c r="T30" s="47"/>
      <c r="U30" s="77">
        <f t="shared" si="0"/>
        <v>7.105427357601002E-15</v>
      </c>
      <c r="V30" s="28"/>
      <c r="W30" s="89"/>
    </row>
    <row r="31" spans="1:23" ht="12.75">
      <c r="A31" s="2">
        <v>29</v>
      </c>
      <c r="B31" s="130"/>
      <c r="C31" s="138">
        <f>'2012年4月'!U31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/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8">
        <f>'2012年4月'!U32</f>
        <v>74.34502631578948</v>
      </c>
      <c r="D32" s="48">
        <v>1</v>
      </c>
      <c r="E32" s="75"/>
      <c r="F32" s="46">
        <f t="shared" si="1"/>
        <v>-12</v>
      </c>
      <c r="G32" s="48">
        <v>1</v>
      </c>
      <c r="H32" s="75"/>
      <c r="I32" s="46">
        <f t="shared" si="2"/>
        <v>-12</v>
      </c>
      <c r="J32" s="48">
        <v>1</v>
      </c>
      <c r="K32" s="75"/>
      <c r="L32" s="46">
        <f t="shared" si="3"/>
        <v>-12.5</v>
      </c>
      <c r="M32" s="48"/>
      <c r="N32" s="75"/>
      <c r="O32" s="46"/>
      <c r="P32" s="98"/>
      <c r="Q32" s="107"/>
      <c r="R32" s="46"/>
      <c r="S32" s="48"/>
      <c r="T32" s="47"/>
      <c r="U32" s="77">
        <f t="shared" si="0"/>
        <v>37.84502631578948</v>
      </c>
      <c r="W32" s="89"/>
    </row>
    <row r="33" spans="1:23" ht="12.75">
      <c r="A33" s="2">
        <v>31</v>
      </c>
      <c r="B33" s="131" t="s">
        <v>25</v>
      </c>
      <c r="C33" s="136">
        <f>'2012年4月'!U33</f>
        <v>36.759685714285695</v>
      </c>
      <c r="D33" s="50">
        <v>1</v>
      </c>
      <c r="E33" s="51"/>
      <c r="F33" s="52">
        <f t="shared" si="1"/>
        <v>-12</v>
      </c>
      <c r="G33" s="50">
        <v>1</v>
      </c>
      <c r="H33" s="51"/>
      <c r="I33" s="52">
        <f t="shared" si="2"/>
        <v>-12</v>
      </c>
      <c r="J33" s="50">
        <v>1</v>
      </c>
      <c r="K33" s="51"/>
      <c r="L33" s="52">
        <f t="shared" si="3"/>
        <v>-12.5</v>
      </c>
      <c r="M33" s="50"/>
      <c r="N33" s="51"/>
      <c r="O33" s="52"/>
      <c r="P33" s="90"/>
      <c r="Q33" s="99"/>
      <c r="R33" s="52"/>
      <c r="S33" s="50"/>
      <c r="T33" s="53"/>
      <c r="U33" s="77">
        <f t="shared" si="0"/>
        <v>0.25968571428569476</v>
      </c>
      <c r="W33" s="89"/>
    </row>
    <row r="34" spans="1:23" ht="12.75">
      <c r="A34" s="2">
        <v>32</v>
      </c>
      <c r="B34" s="131" t="s">
        <v>55</v>
      </c>
      <c r="C34" s="136">
        <f>'2012年4月'!U34</f>
        <v>309.1764532065458</v>
      </c>
      <c r="D34" s="88">
        <v>1</v>
      </c>
      <c r="E34" s="51"/>
      <c r="F34" s="52">
        <f t="shared" si="1"/>
        <v>-12</v>
      </c>
      <c r="G34" s="88">
        <v>1</v>
      </c>
      <c r="H34" s="51"/>
      <c r="I34" s="52">
        <f t="shared" si="2"/>
        <v>-12</v>
      </c>
      <c r="J34" s="88">
        <v>1</v>
      </c>
      <c r="K34" s="51"/>
      <c r="L34" s="52">
        <f t="shared" si="3"/>
        <v>-12.5</v>
      </c>
      <c r="M34" s="50"/>
      <c r="N34" s="51"/>
      <c r="O34" s="52"/>
      <c r="P34" s="90"/>
      <c r="Q34" s="99"/>
      <c r="R34" s="52"/>
      <c r="S34" s="54"/>
      <c r="T34" s="53"/>
      <c r="U34" s="77">
        <f t="shared" si="0"/>
        <v>272.6764532065458</v>
      </c>
      <c r="W34" s="89"/>
    </row>
    <row r="35" spans="1:23" ht="12.75">
      <c r="A35" s="2">
        <v>33</v>
      </c>
      <c r="B35" s="131" t="s">
        <v>26</v>
      </c>
      <c r="C35" s="136">
        <f>'2012年4月'!U35</f>
        <v>51.98626749226001</v>
      </c>
      <c r="D35" s="50">
        <v>1</v>
      </c>
      <c r="E35" s="51"/>
      <c r="F35" s="52">
        <f t="shared" si="1"/>
        <v>-12</v>
      </c>
      <c r="G35" s="50">
        <v>1</v>
      </c>
      <c r="H35" s="51"/>
      <c r="I35" s="52">
        <f t="shared" si="2"/>
        <v>-12</v>
      </c>
      <c r="J35" s="50">
        <v>1</v>
      </c>
      <c r="K35" s="51"/>
      <c r="L35" s="52">
        <f t="shared" si="3"/>
        <v>-12.5</v>
      </c>
      <c r="M35" s="50"/>
      <c r="N35" s="51"/>
      <c r="O35" s="52"/>
      <c r="P35" s="90"/>
      <c r="Q35" s="99"/>
      <c r="R35" s="52"/>
      <c r="S35" s="50"/>
      <c r="T35" s="53"/>
      <c r="U35" s="77">
        <f aca="true" t="shared" si="4" ref="U35:U53">C35+E35+F35+H35+I35+K35+L35+N35+O35+T35+Q35+R35</f>
        <v>15.486267492260012</v>
      </c>
      <c r="W35" s="89"/>
    </row>
    <row r="36" spans="1:23" ht="12.75">
      <c r="A36" s="2">
        <v>34</v>
      </c>
      <c r="B36" s="127"/>
      <c r="C36" s="128">
        <f>'2012年4月'!U36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127" t="s">
        <v>27</v>
      </c>
      <c r="C37" s="128">
        <f>'2012年4月'!U37</f>
        <v>354.98115320654586</v>
      </c>
      <c r="D37" s="56">
        <v>1</v>
      </c>
      <c r="E37" s="57"/>
      <c r="F37" s="58">
        <f t="shared" si="1"/>
        <v>-12</v>
      </c>
      <c r="G37" s="56">
        <v>1</v>
      </c>
      <c r="H37" s="57"/>
      <c r="I37" s="58">
        <f t="shared" si="2"/>
        <v>-12</v>
      </c>
      <c r="J37" s="56">
        <v>1</v>
      </c>
      <c r="K37" s="57"/>
      <c r="L37" s="58">
        <f t="shared" si="3"/>
        <v>-12.5</v>
      </c>
      <c r="M37" s="56"/>
      <c r="N37" s="57"/>
      <c r="O37" s="58"/>
      <c r="P37" s="92"/>
      <c r="Q37" s="101"/>
      <c r="R37" s="58"/>
      <c r="S37" s="56"/>
      <c r="T37" s="59"/>
      <c r="U37" s="77">
        <f t="shared" si="4"/>
        <v>318.48115320654586</v>
      </c>
      <c r="V37" s="28"/>
      <c r="W37" s="89"/>
    </row>
    <row r="38" spans="1:23" ht="12.75">
      <c r="A38" s="2">
        <v>36</v>
      </c>
      <c r="B38" s="127" t="s">
        <v>28</v>
      </c>
      <c r="C38" s="128">
        <f>'2012年4月'!U38</f>
        <v>-53.19214679345423</v>
      </c>
      <c r="D38" s="56">
        <v>1</v>
      </c>
      <c r="E38" s="57"/>
      <c r="F38" s="58">
        <f t="shared" si="1"/>
        <v>-12</v>
      </c>
      <c r="G38" s="56"/>
      <c r="H38" s="57"/>
      <c r="I38" s="58">
        <f t="shared" si="2"/>
        <v>0</v>
      </c>
      <c r="J38" s="56">
        <v>1</v>
      </c>
      <c r="K38" s="57">
        <v>200</v>
      </c>
      <c r="L38" s="58">
        <f t="shared" si="3"/>
        <v>-12.5</v>
      </c>
      <c r="M38" s="56"/>
      <c r="N38" s="57"/>
      <c r="O38" s="58"/>
      <c r="P38" s="92"/>
      <c r="Q38" s="101"/>
      <c r="R38" s="58"/>
      <c r="S38" s="60"/>
      <c r="T38" s="59"/>
      <c r="U38" s="77">
        <f t="shared" si="4"/>
        <v>122.30785320654576</v>
      </c>
      <c r="W38" s="89"/>
    </row>
    <row r="39" spans="1:23" ht="12.75">
      <c r="A39" s="2">
        <v>37</v>
      </c>
      <c r="B39" s="132"/>
      <c r="C39" s="139">
        <f>'2012年4月'!U39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/>
      <c r="P39" s="93"/>
      <c r="Q39" s="102"/>
      <c r="R39" s="70"/>
      <c r="S39" s="68"/>
      <c r="T39" s="71"/>
      <c r="U39" s="77">
        <f t="shared" si="4"/>
        <v>0</v>
      </c>
      <c r="W39" s="89"/>
    </row>
    <row r="40" spans="1:23" ht="12.75">
      <c r="A40" s="2">
        <v>38</v>
      </c>
      <c r="B40" s="132"/>
      <c r="C40" s="139">
        <f>'2012年4月'!U40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/>
      <c r="P40" s="93"/>
      <c r="Q40" s="102"/>
      <c r="R40" s="70"/>
      <c r="S40" s="68"/>
      <c r="T40" s="71"/>
      <c r="U40" s="110">
        <f t="shared" si="4"/>
        <v>0</v>
      </c>
      <c r="W40" s="89"/>
    </row>
    <row r="41" spans="1:23" ht="12.75">
      <c r="A41" s="2">
        <v>39</v>
      </c>
      <c r="B41" s="132"/>
      <c r="C41" s="139">
        <f>'2012年4月'!U41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129"/>
      <c r="C42" s="140">
        <f>'2012年4月'!U42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/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129" t="s">
        <v>30</v>
      </c>
      <c r="C43" s="140">
        <f>'2012年4月'!U43</f>
        <v>-20.134873109243678</v>
      </c>
      <c r="D43" s="65">
        <v>1</v>
      </c>
      <c r="E43" s="74"/>
      <c r="F43" s="64">
        <f t="shared" si="1"/>
        <v>-12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-12.5</v>
      </c>
      <c r="M43" s="65"/>
      <c r="N43" s="74"/>
      <c r="O43" s="64"/>
      <c r="P43" s="97"/>
      <c r="Q43" s="106"/>
      <c r="R43" s="64"/>
      <c r="S43" s="65"/>
      <c r="T43" s="66"/>
      <c r="U43" s="77">
        <f t="shared" si="4"/>
        <v>-44.63487310924368</v>
      </c>
      <c r="W43" s="89"/>
    </row>
    <row r="44" spans="1:23" ht="12.75">
      <c r="A44" s="2">
        <v>42</v>
      </c>
      <c r="B44" s="129" t="s">
        <v>57</v>
      </c>
      <c r="C44" s="140">
        <f>'2012年4月'!U44</f>
        <v>185.66542689075624</v>
      </c>
      <c r="D44" s="65">
        <v>1</v>
      </c>
      <c r="E44" s="74"/>
      <c r="F44" s="64">
        <f t="shared" si="1"/>
        <v>-12</v>
      </c>
      <c r="G44" s="65">
        <v>1</v>
      </c>
      <c r="H44" s="74"/>
      <c r="I44" s="64">
        <f t="shared" si="2"/>
        <v>-12</v>
      </c>
      <c r="J44" s="65">
        <v>1</v>
      </c>
      <c r="K44" s="74"/>
      <c r="L44" s="64">
        <f t="shared" si="3"/>
        <v>-12.5</v>
      </c>
      <c r="M44" s="65"/>
      <c r="N44" s="74"/>
      <c r="O44" s="64"/>
      <c r="P44" s="97"/>
      <c r="Q44" s="106"/>
      <c r="R44" s="64"/>
      <c r="S44" s="65"/>
      <c r="T44" s="66"/>
      <c r="U44" s="77">
        <f t="shared" si="4"/>
        <v>149.16542689075624</v>
      </c>
      <c r="W44" s="89"/>
    </row>
    <row r="45" spans="1:23" ht="12.75">
      <c r="A45" s="2">
        <v>43</v>
      </c>
      <c r="B45" s="130"/>
      <c r="C45" s="138">
        <f>'2012年4月'!U45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/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133">
        <v>9631</v>
      </c>
      <c r="C46" s="138">
        <f>'2012年4月'!U46</f>
        <v>26.3697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 t="shared" si="3"/>
        <v>-12.5</v>
      </c>
      <c r="M46" s="44"/>
      <c r="N46" s="75"/>
      <c r="O46" s="46"/>
      <c r="P46" s="96"/>
      <c r="Q46" s="105"/>
      <c r="R46" s="46"/>
      <c r="S46" s="44"/>
      <c r="T46" s="47"/>
      <c r="U46" s="77">
        <f t="shared" si="4"/>
        <v>13.869700000000002</v>
      </c>
      <c r="W46" s="89"/>
    </row>
    <row r="47" spans="1:23" ht="12.75">
      <c r="A47" s="2">
        <v>45</v>
      </c>
      <c r="B47" s="130" t="s">
        <v>124</v>
      </c>
      <c r="C47" s="138">
        <f>'2012年4月'!U47</f>
        <v>-25.375746793454233</v>
      </c>
      <c r="D47" s="48">
        <v>1</v>
      </c>
      <c r="E47" s="75">
        <v>200</v>
      </c>
      <c r="F47" s="46">
        <f t="shared" si="1"/>
        <v>-12</v>
      </c>
      <c r="G47" s="48">
        <v>1</v>
      </c>
      <c r="H47" s="75"/>
      <c r="I47" s="46">
        <f t="shared" si="2"/>
        <v>-12</v>
      </c>
      <c r="J47" s="48">
        <v>1</v>
      </c>
      <c r="K47" s="75"/>
      <c r="L47" s="46">
        <f t="shared" si="3"/>
        <v>-12.5</v>
      </c>
      <c r="M47" s="48"/>
      <c r="N47" s="75"/>
      <c r="O47" s="46"/>
      <c r="P47" s="98"/>
      <c r="Q47" s="107"/>
      <c r="R47" s="46"/>
      <c r="S47" s="48"/>
      <c r="T47" s="47"/>
      <c r="U47" s="77">
        <f t="shared" si="4"/>
        <v>138.12425320654577</v>
      </c>
      <c r="W47" s="89"/>
    </row>
    <row r="48" spans="1:23" ht="12.75">
      <c r="A48" s="2">
        <v>46</v>
      </c>
      <c r="B48" s="78"/>
      <c r="C48" s="136">
        <f>'2012年4月'!U48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/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/>
      <c r="C49" s="136">
        <f>'2012年4月'!U49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/>
      <c r="P49" s="90"/>
      <c r="Q49" s="108"/>
      <c r="R49" s="52"/>
      <c r="S49" s="54"/>
      <c r="T49" s="53"/>
      <c r="U49" s="77">
        <f t="shared" si="4"/>
        <v>0</v>
      </c>
      <c r="W49" s="89"/>
    </row>
    <row r="50" spans="1:23" ht="12.75">
      <c r="A50" s="2">
        <v>48</v>
      </c>
      <c r="B50" s="78"/>
      <c r="C50" s="136">
        <f>'2012年4月'!U50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/>
      <c r="P50" s="90"/>
      <c r="Q50" s="108"/>
      <c r="R50" s="52"/>
      <c r="S50" s="50"/>
      <c r="T50" s="53"/>
      <c r="U50" s="77">
        <f t="shared" si="4"/>
        <v>0</v>
      </c>
      <c r="W50" s="89"/>
    </row>
    <row r="51" spans="1:23" ht="12.75">
      <c r="A51" s="2">
        <v>49</v>
      </c>
      <c r="B51" s="79"/>
      <c r="C51" s="128">
        <f>'2012年4月'!U51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/>
      <c r="P51" s="56"/>
      <c r="Q51" s="73"/>
      <c r="R51" s="58"/>
      <c r="S51" s="60"/>
      <c r="T51" s="59"/>
      <c r="U51" s="77">
        <f t="shared" si="4"/>
        <v>0</v>
      </c>
      <c r="W51" s="89"/>
    </row>
    <row r="52" spans="1:23" ht="12.75">
      <c r="A52" s="2">
        <v>50</v>
      </c>
      <c r="B52" s="79" t="s">
        <v>35</v>
      </c>
      <c r="C52" s="128">
        <f>'2012年4月'!U52</f>
        <v>61.459999999999994</v>
      </c>
      <c r="D52" s="60">
        <v>1</v>
      </c>
      <c r="E52" s="73"/>
      <c r="F52" s="58">
        <f t="shared" si="1"/>
        <v>-12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-12.5</v>
      </c>
      <c r="M52" s="60"/>
      <c r="N52" s="73"/>
      <c r="O52" s="58"/>
      <c r="P52" s="60"/>
      <c r="Q52" s="73"/>
      <c r="R52" s="58"/>
      <c r="S52" s="56"/>
      <c r="T52" s="59"/>
      <c r="U52" s="77">
        <f t="shared" si="4"/>
        <v>36.959999999999994</v>
      </c>
      <c r="W52" s="89"/>
    </row>
    <row r="53" spans="1:23" ht="12.75">
      <c r="A53" s="2">
        <v>51</v>
      </c>
      <c r="B53" s="87"/>
      <c r="C53" s="128">
        <f>'2012年4月'!U53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/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34</v>
      </c>
      <c r="D55" s="1">
        <f>SUM(D3:D53)</f>
        <v>25</v>
      </c>
      <c r="F55" s="1">
        <f>E66/D55</f>
        <v>12</v>
      </c>
      <c r="G55" s="1">
        <f>SUM(G3:G53)</f>
        <v>25</v>
      </c>
      <c r="I55" s="1">
        <f>H66/G55</f>
        <v>12</v>
      </c>
      <c r="J55" s="1">
        <f>SUM(J3:J53)</f>
        <v>24</v>
      </c>
      <c r="L55" s="1">
        <f>K66/J55</f>
        <v>12.5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-300</v>
      </c>
      <c r="N57" s="28" t="s">
        <v>38</v>
      </c>
      <c r="O57" s="1">
        <f>SUM(O3:O53)</f>
        <v>0</v>
      </c>
      <c r="Q57" s="28" t="s">
        <v>38</v>
      </c>
      <c r="R57" s="1">
        <f>SUM(R3:R53)</f>
        <v>0</v>
      </c>
      <c r="U57" s="19"/>
    </row>
    <row r="58" spans="2:21" ht="12.75">
      <c r="B58" s="29" t="s">
        <v>39</v>
      </c>
      <c r="C58" s="27">
        <f>SUM(C3:C53)</f>
        <v>2700.000000000001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2800.000000000001</v>
      </c>
      <c r="W59" s="89">
        <f>U59</f>
        <v>2800.000000000001</v>
      </c>
    </row>
    <row r="60" spans="4:23" ht="12.75" customHeight="1">
      <c r="D60" s="147" t="s">
        <v>401</v>
      </c>
      <c r="E60" s="148"/>
      <c r="F60" s="149"/>
      <c r="G60" s="147" t="s">
        <v>402</v>
      </c>
      <c r="H60" s="148"/>
      <c r="I60" s="149"/>
      <c r="J60" s="147" t="s">
        <v>403</v>
      </c>
      <c r="K60" s="148"/>
      <c r="L60" s="149"/>
      <c r="M60" s="147" t="s">
        <v>404</v>
      </c>
      <c r="N60" s="148"/>
      <c r="O60" s="149"/>
      <c r="P60" s="147" t="s">
        <v>405</v>
      </c>
      <c r="Q60" s="148"/>
      <c r="R60" s="149"/>
      <c r="S60" s="153"/>
      <c r="T60" s="153"/>
      <c r="W60" s="89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300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59"/>
      <c r="K74" s="159"/>
      <c r="L74" s="159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59"/>
      <c r="K75" s="159"/>
      <c r="L75" s="159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59"/>
      <c r="K76" s="159"/>
      <c r="L76" s="159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406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/>
      <c r="E89" s="28"/>
      <c r="G89" s="109"/>
      <c r="J89" s="109"/>
      <c r="K89" s="28"/>
      <c r="M89" s="109"/>
      <c r="P89" s="109"/>
    </row>
    <row r="90" ht="12.75">
      <c r="M90" s="28"/>
    </row>
    <row r="93" ht="12.75"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 t="s">
        <v>124</v>
      </c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D1:F1"/>
    <mergeCell ref="S59:T59"/>
    <mergeCell ref="D60:F64"/>
    <mergeCell ref="G60:I64"/>
    <mergeCell ref="J60:L64"/>
    <mergeCell ref="M60:O64"/>
    <mergeCell ref="P60:R64"/>
    <mergeCell ref="S60:T64"/>
    <mergeCell ref="P74:R76"/>
    <mergeCell ref="D77:F79"/>
    <mergeCell ref="G77:I79"/>
    <mergeCell ref="J77:L79"/>
    <mergeCell ref="M77:O79"/>
    <mergeCell ref="P77:R79"/>
    <mergeCell ref="G74:I76"/>
    <mergeCell ref="J72:L72"/>
    <mergeCell ref="D74:F76"/>
    <mergeCell ref="J74:L76"/>
    <mergeCell ref="M74:O76"/>
    <mergeCell ref="M87:O87"/>
    <mergeCell ref="J87:L87"/>
    <mergeCell ref="G87:I87"/>
    <mergeCell ref="D87:F87"/>
    <mergeCell ref="G80:I80"/>
    <mergeCell ref="J80:L80"/>
    <mergeCell ref="M80:O80"/>
    <mergeCell ref="P80:R80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40601</v>
      </c>
      <c r="E1" s="155"/>
      <c r="F1" s="156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47" t="s">
        <v>117</v>
      </c>
      <c r="E60" s="148"/>
      <c r="F60" s="149"/>
      <c r="G60" s="147" t="s">
        <v>118</v>
      </c>
      <c r="H60" s="148"/>
      <c r="I60" s="149"/>
      <c r="J60" s="147" t="s">
        <v>119</v>
      </c>
      <c r="K60" s="148"/>
      <c r="L60" s="149"/>
      <c r="M60" s="147" t="s">
        <v>120</v>
      </c>
      <c r="N60" s="148"/>
      <c r="O60" s="149"/>
      <c r="P60" s="147" t="s">
        <v>121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127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123</v>
      </c>
      <c r="H77" s="145"/>
      <c r="I77" s="145"/>
      <c r="J77" s="145" t="s">
        <v>126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113</v>
      </c>
      <c r="E80" s="142"/>
      <c r="G80" s="141" t="s">
        <v>113</v>
      </c>
      <c r="H80" s="142"/>
      <c r="J80" s="141" t="s">
        <v>113</v>
      </c>
      <c r="K80" s="142"/>
      <c r="M80" s="141" t="s">
        <v>113</v>
      </c>
      <c r="N80" s="142"/>
      <c r="P80" s="141" t="s">
        <v>113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43" t="s">
        <v>116</v>
      </c>
      <c r="E102" s="142"/>
      <c r="F102" s="142"/>
      <c r="G102" s="143" t="s">
        <v>116</v>
      </c>
      <c r="H102" s="142"/>
      <c r="I102" s="142"/>
      <c r="J102" s="143" t="s">
        <v>116</v>
      </c>
      <c r="K102" s="142"/>
      <c r="L102" s="142"/>
      <c r="M102" s="143" t="s">
        <v>116</v>
      </c>
      <c r="N102" s="142"/>
      <c r="O102" s="142"/>
      <c r="P102" s="143" t="s">
        <v>116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40636</v>
      </c>
      <c r="E1" s="155"/>
      <c r="F1" s="156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40665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>
        <v>1</v>
      </c>
      <c r="Q3" s="99"/>
      <c r="R3" s="52">
        <f>-15.5263*P3</f>
        <v>-15.5263</v>
      </c>
      <c r="S3" s="50"/>
      <c r="T3" s="53"/>
      <c r="U3" s="77">
        <f aca="true" t="shared" si="0" ref="U3:U34">C3+E3+F3+H3+I3+K3+L3+N3+O3+T3+Q3+R3</f>
        <v>35.9412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>
        <f aca="true" t="shared" si="5" ref="R4:R53">-15.5263*P4</f>
        <v>0</v>
      </c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>
        <f t="shared" si="5"/>
        <v>0</v>
      </c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>
        <f t="shared" si="5"/>
        <v>0</v>
      </c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>
        <v>1</v>
      </c>
      <c r="Q10" s="103"/>
      <c r="R10" s="70">
        <f t="shared" si="5"/>
        <v>-15.5263</v>
      </c>
      <c r="S10" s="72"/>
      <c r="T10" s="71"/>
      <c r="U10" s="77">
        <f t="shared" si="0"/>
        <v>72.53809999999997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>
        <v>1</v>
      </c>
      <c r="Q11" s="102"/>
      <c r="R11" s="70">
        <f t="shared" si="5"/>
        <v>-15.5263</v>
      </c>
      <c r="S11" s="68"/>
      <c r="T11" s="71"/>
      <c r="U11" s="77">
        <f t="shared" si="0"/>
        <v>29.416999999999994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>
        <v>1</v>
      </c>
      <c r="Q12" s="104"/>
      <c r="R12" s="64">
        <f t="shared" si="5"/>
        <v>-15.5263</v>
      </c>
      <c r="S12" s="62"/>
      <c r="T12" s="66"/>
      <c r="U12" s="77">
        <f t="shared" si="0"/>
        <v>43.93019999999997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>
        <f t="shared" si="5"/>
        <v>0</v>
      </c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>
        <f t="shared" si="5"/>
        <v>0</v>
      </c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>
        <f t="shared" si="5"/>
        <v>0</v>
      </c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>
        <v>1</v>
      </c>
      <c r="Q16" s="105"/>
      <c r="R16" s="46">
        <f t="shared" si="5"/>
        <v>-15.5263</v>
      </c>
      <c r="S16" s="44"/>
      <c r="T16" s="47"/>
      <c r="U16" s="77">
        <f t="shared" si="0"/>
        <v>20.002299999999984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>
        <v>1</v>
      </c>
      <c r="Q18" s="99">
        <v>190</v>
      </c>
      <c r="R18" s="52">
        <f t="shared" si="5"/>
        <v>-15.5263</v>
      </c>
      <c r="S18" s="50"/>
      <c r="T18" s="53"/>
      <c r="U18" s="77">
        <f t="shared" si="0"/>
        <v>83.02649999999998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>
        <v>1</v>
      </c>
      <c r="Q19" s="99"/>
      <c r="R19" s="52">
        <f t="shared" si="5"/>
        <v>-15.5263</v>
      </c>
      <c r="S19" s="54"/>
      <c r="T19" s="53"/>
      <c r="U19" s="77">
        <f t="shared" si="0"/>
        <v>58.750599999999984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>
        <f t="shared" si="5"/>
        <v>0</v>
      </c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>
        <v>1</v>
      </c>
      <c r="Q21" s="101"/>
      <c r="R21" s="58">
        <f t="shared" si="5"/>
        <v>-15.5263</v>
      </c>
      <c r="S21" s="60"/>
      <c r="T21" s="59"/>
      <c r="U21" s="77">
        <f t="shared" si="0"/>
        <v>86.55019999999998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>
        <v>1</v>
      </c>
      <c r="Q23" s="101"/>
      <c r="R23" s="58">
        <f t="shared" si="5"/>
        <v>-15.5263</v>
      </c>
      <c r="S23" s="60"/>
      <c r="T23" s="59"/>
      <c r="U23" s="77">
        <f t="shared" si="0"/>
        <v>34.3461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>
        <v>1</v>
      </c>
      <c r="Q24" s="102"/>
      <c r="R24" s="70">
        <f t="shared" si="5"/>
        <v>-15.5263</v>
      </c>
      <c r="S24" s="68"/>
      <c r="T24" s="71"/>
      <c r="U24" s="77">
        <f t="shared" si="0"/>
        <v>18.39289999999999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>
        <v>1</v>
      </c>
      <c r="Q25" s="102"/>
      <c r="R25" s="70">
        <f t="shared" si="5"/>
        <v>-15.5263</v>
      </c>
      <c r="S25" s="68"/>
      <c r="T25" s="71"/>
      <c r="U25" s="77">
        <f t="shared" si="0"/>
        <v>21.601400000000005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>
        <f t="shared" si="5"/>
        <v>0</v>
      </c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>
        <f t="shared" si="5"/>
        <v>0</v>
      </c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>
        <v>1</v>
      </c>
      <c r="Q28" s="106"/>
      <c r="R28" s="64">
        <f>-15.5263*P28-5</f>
        <v>-20.5263</v>
      </c>
      <c r="S28" s="65"/>
      <c r="T28" s="66"/>
      <c r="U28" s="77">
        <f t="shared" si="0"/>
        <v>-20.633199999999995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>
        <f t="shared" si="5"/>
        <v>0</v>
      </c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>
        <f t="shared" si="5"/>
        <v>0</v>
      </c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>
        <f t="shared" si="5"/>
        <v>0</v>
      </c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>
        <v>1</v>
      </c>
      <c r="Q33" s="99"/>
      <c r="R33" s="52">
        <f t="shared" si="5"/>
        <v>-15.5263</v>
      </c>
      <c r="S33" s="50"/>
      <c r="T33" s="53"/>
      <c r="U33" s="77">
        <f t="shared" si="0"/>
        <v>-3.5113000000000145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>
        <v>1</v>
      </c>
      <c r="Q34" s="99"/>
      <c r="R34" s="52">
        <f t="shared" si="5"/>
        <v>-15.5263</v>
      </c>
      <c r="S34" s="54"/>
      <c r="T34" s="53"/>
      <c r="U34" s="77">
        <f t="shared" si="0"/>
        <v>44.828999999999965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>
        <v>1</v>
      </c>
      <c r="Q35" s="99"/>
      <c r="R35" s="52">
        <f t="shared" si="5"/>
        <v>-15.5263</v>
      </c>
      <c r="S35" s="50"/>
      <c r="T35" s="53"/>
      <c r="U35" s="77">
        <f aca="true" t="shared" si="6" ref="U35:U53">C35+E35+F35+H35+I35+K35+L35+N35+O35+T35+Q35+R35</f>
        <v>65.15029999999997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>
        <v>1</v>
      </c>
      <c r="Q37" s="101"/>
      <c r="R37" s="58">
        <f t="shared" si="5"/>
        <v>-15.5263</v>
      </c>
      <c r="S37" s="56"/>
      <c r="T37" s="59"/>
      <c r="U37" s="77">
        <f t="shared" si="6"/>
        <v>47.73749999999997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>
        <v>1</v>
      </c>
      <c r="Q38" s="101">
        <v>100</v>
      </c>
      <c r="R38" s="58">
        <f t="shared" si="5"/>
        <v>-15.5263</v>
      </c>
      <c r="S38" s="60"/>
      <c r="T38" s="59"/>
      <c r="U38" s="77">
        <f t="shared" si="6"/>
        <v>196.132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>
        <f t="shared" si="5"/>
        <v>0</v>
      </c>
      <c r="S39" s="68"/>
      <c r="T39" s="71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>
        <f t="shared" si="5"/>
        <v>0</v>
      </c>
      <c r="S43" s="65"/>
      <c r="T43" s="66"/>
      <c r="U43" s="77">
        <f t="shared" si="6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>
        <v>1</v>
      </c>
      <c r="Q44" s="106"/>
      <c r="R44" s="64">
        <f t="shared" si="5"/>
        <v>-15.5263</v>
      </c>
      <c r="S44" s="65"/>
      <c r="T44" s="66"/>
      <c r="U44" s="77">
        <f t="shared" si="6"/>
        <v>29.298899999999996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>
        <f t="shared" si="5"/>
        <v>0</v>
      </c>
      <c r="S46" s="44"/>
      <c r="T46" s="47"/>
      <c r="U46" s="77">
        <f t="shared" si="6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>
        <v>1</v>
      </c>
      <c r="Q47" s="107"/>
      <c r="R47" s="46">
        <f t="shared" si="5"/>
        <v>-15.5263</v>
      </c>
      <c r="S47" s="48"/>
      <c r="T47" s="47"/>
      <c r="U47" s="77">
        <f t="shared" si="6"/>
        <v>85.58549999999998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>
        <f t="shared" si="5"/>
        <v>0</v>
      </c>
      <c r="S49" s="54"/>
      <c r="T49" s="53"/>
      <c r="U49" s="77">
        <f t="shared" si="6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>
        <f t="shared" si="5"/>
        <v>0</v>
      </c>
      <c r="S50" s="50"/>
      <c r="T50" s="53"/>
      <c r="U50" s="77">
        <f t="shared" si="6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>
        <f t="shared" si="5"/>
        <v>0</v>
      </c>
      <c r="S52" s="56"/>
      <c r="T52" s="59"/>
      <c r="U52" s="77">
        <f t="shared" si="6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19</v>
      </c>
      <c r="R55" s="1">
        <f>Q66/P55</f>
        <v>15.526315789473685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-299.99969999999996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1190.0003</v>
      </c>
      <c r="W59" s="89">
        <f>U59</f>
        <v>1190.0003</v>
      </c>
    </row>
    <row r="60" spans="4:20" ht="12.75" customHeight="1">
      <c r="D60" s="147" t="s">
        <v>160</v>
      </c>
      <c r="E60" s="148"/>
      <c r="F60" s="149"/>
      <c r="G60" s="147" t="s">
        <v>161</v>
      </c>
      <c r="H60" s="148"/>
      <c r="I60" s="149"/>
      <c r="J60" s="147" t="s">
        <v>162</v>
      </c>
      <c r="K60" s="148"/>
      <c r="L60" s="149"/>
      <c r="M60" s="147" t="s">
        <v>163</v>
      </c>
      <c r="N60" s="148"/>
      <c r="O60" s="149"/>
      <c r="P60" s="147" t="s">
        <v>165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155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157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164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158</v>
      </c>
      <c r="E95" s="144"/>
      <c r="F95" s="144"/>
      <c r="G95" s="144" t="s">
        <v>159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S32" sqref="S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40671</v>
      </c>
      <c r="E1" s="155"/>
      <c r="F1" s="156"/>
      <c r="G1" s="16"/>
      <c r="H1" s="24">
        <v>40678</v>
      </c>
      <c r="I1" s="17"/>
      <c r="J1" s="30"/>
      <c r="K1" s="24">
        <v>40685</v>
      </c>
      <c r="L1" s="31"/>
      <c r="M1" s="16"/>
      <c r="N1" s="24">
        <v>40692</v>
      </c>
      <c r="O1" s="17"/>
      <c r="P1" s="16"/>
      <c r="Q1" s="24">
        <v>40700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'2011年4月'!U3</f>
        <v>35.9412</v>
      </c>
      <c r="D3" s="50">
        <v>1</v>
      </c>
      <c r="E3" s="51"/>
      <c r="F3" s="52">
        <f>-6.6176*D3</f>
        <v>-6.6176</v>
      </c>
      <c r="G3" s="50">
        <v>1</v>
      </c>
      <c r="H3" s="51">
        <v>35</v>
      </c>
      <c r="I3" s="52">
        <f>-18.125*G3</f>
        <v>-18.125</v>
      </c>
      <c r="J3" s="50">
        <v>1</v>
      </c>
      <c r="K3" s="51"/>
      <c r="L3" s="52">
        <f>-6.8182*J3</f>
        <v>-6.8182</v>
      </c>
      <c r="M3" s="50">
        <v>1</v>
      </c>
      <c r="N3" s="51"/>
      <c r="O3" s="52">
        <f aca="true" t="shared" si="0" ref="O3:O34">-6.4286*M3</f>
        <v>-6.4286</v>
      </c>
      <c r="P3" s="90">
        <v>1</v>
      </c>
      <c r="Q3" s="99"/>
      <c r="R3" s="52">
        <f>-10.238*P3</f>
        <v>-10.238</v>
      </c>
      <c r="S3" s="50"/>
      <c r="T3" s="53"/>
      <c r="U3" s="77">
        <f aca="true" t="shared" si="1" ref="U3:U34">C3+E3+F3+H3+I3+K3+L3+N3+O3+T3+Q3+R3</f>
        <v>22.7138</v>
      </c>
      <c r="W3" s="89"/>
    </row>
    <row r="4" spans="1:23" ht="12.75">
      <c r="A4" s="2">
        <v>2</v>
      </c>
      <c r="B4" s="76" t="s">
        <v>3</v>
      </c>
      <c r="C4" s="49">
        <f>'2011年4月'!U4</f>
        <v>74.29429999999999</v>
      </c>
      <c r="D4" s="50">
        <v>1</v>
      </c>
      <c r="E4" s="51"/>
      <c r="F4" s="52">
        <f aca="true" t="shared" si="2" ref="F4:F53">-6.6176*D4</f>
        <v>-6.6176</v>
      </c>
      <c r="G4" s="50">
        <v>1</v>
      </c>
      <c r="H4" s="51"/>
      <c r="I4" s="52">
        <f aca="true" t="shared" si="3" ref="I4:I53">-18.125*G4</f>
        <v>-18.125</v>
      </c>
      <c r="J4" s="50">
        <v>1</v>
      </c>
      <c r="K4" s="51"/>
      <c r="L4" s="52">
        <f aca="true" t="shared" si="4" ref="L4:L53">-6.8182*J4</f>
        <v>-6.8182</v>
      </c>
      <c r="M4" s="50">
        <v>1</v>
      </c>
      <c r="N4" s="51"/>
      <c r="O4" s="52">
        <f t="shared" si="0"/>
        <v>-6.4286</v>
      </c>
      <c r="P4" s="90">
        <v>1</v>
      </c>
      <c r="Q4" s="99"/>
      <c r="R4" s="52">
        <f aca="true" t="shared" si="5" ref="R4:R53">-10.238*P4</f>
        <v>-10.238</v>
      </c>
      <c r="S4" s="54"/>
      <c r="T4" s="53"/>
      <c r="U4" s="77">
        <f t="shared" si="1"/>
        <v>26.066899999999997</v>
      </c>
      <c r="W4" s="89"/>
    </row>
    <row r="5" spans="1:23" ht="12.75">
      <c r="A5" s="2">
        <v>3</v>
      </c>
      <c r="B5" s="78" t="s">
        <v>182</v>
      </c>
      <c r="C5" s="49">
        <f>'2011年4月'!U5</f>
        <v>0</v>
      </c>
      <c r="D5" s="50"/>
      <c r="E5" s="51"/>
      <c r="F5" s="52">
        <f t="shared" si="2"/>
        <v>0</v>
      </c>
      <c r="G5" s="50"/>
      <c r="H5" s="51"/>
      <c r="I5" s="52">
        <f t="shared" si="3"/>
        <v>0</v>
      </c>
      <c r="J5" s="50"/>
      <c r="K5" s="51"/>
      <c r="L5" s="52">
        <f t="shared" si="4"/>
        <v>0</v>
      </c>
      <c r="M5" s="50">
        <v>1</v>
      </c>
      <c r="N5" s="51">
        <v>50</v>
      </c>
      <c r="O5" s="52">
        <f t="shared" si="0"/>
        <v>-6.4286</v>
      </c>
      <c r="P5" s="90">
        <v>1</v>
      </c>
      <c r="Q5" s="99">
        <v>50</v>
      </c>
      <c r="R5" s="52">
        <f>-10.238*P5-10</f>
        <v>-20.238</v>
      </c>
      <c r="S5" s="50"/>
      <c r="T5" s="53"/>
      <c r="U5" s="77">
        <f t="shared" si="1"/>
        <v>73.3334</v>
      </c>
      <c r="W5" s="89"/>
    </row>
    <row r="6" spans="1:23" ht="12.75">
      <c r="A6" s="2">
        <v>4</v>
      </c>
      <c r="B6" s="79" t="s">
        <v>69</v>
      </c>
      <c r="C6" s="55">
        <f>'2011年4月'!U6</f>
        <v>24.873999999999995</v>
      </c>
      <c r="D6" s="60">
        <v>1</v>
      </c>
      <c r="E6" s="57"/>
      <c r="F6" s="58">
        <f t="shared" si="2"/>
        <v>-6.6176</v>
      </c>
      <c r="G6" s="60"/>
      <c r="H6" s="57"/>
      <c r="I6" s="58">
        <f t="shared" si="3"/>
        <v>0</v>
      </c>
      <c r="J6" s="60">
        <v>1</v>
      </c>
      <c r="K6" s="57"/>
      <c r="L6" s="58">
        <f t="shared" si="4"/>
        <v>-6.8182</v>
      </c>
      <c r="M6" s="60">
        <v>1</v>
      </c>
      <c r="N6" s="57"/>
      <c r="O6" s="58">
        <f t="shared" si="0"/>
        <v>-6.4286</v>
      </c>
      <c r="P6" s="91"/>
      <c r="Q6" s="100"/>
      <c r="R6" s="58">
        <f t="shared" si="5"/>
        <v>0</v>
      </c>
      <c r="S6" s="60"/>
      <c r="T6" s="59"/>
      <c r="U6" s="77">
        <f t="shared" si="1"/>
        <v>5.0095999999999945</v>
      </c>
      <c r="W6" s="89"/>
    </row>
    <row r="7" spans="1:23" ht="12.75">
      <c r="A7" s="2">
        <v>5</v>
      </c>
      <c r="B7" s="79" t="s">
        <v>70</v>
      </c>
      <c r="C7" s="55">
        <f>'2011年4月'!U7</f>
        <v>-3.5443999999999996</v>
      </c>
      <c r="D7" s="56">
        <v>1</v>
      </c>
      <c r="E7" s="57"/>
      <c r="F7" s="58">
        <f t="shared" si="2"/>
        <v>-6.6176</v>
      </c>
      <c r="G7" s="56"/>
      <c r="H7" s="57"/>
      <c r="I7" s="58">
        <f t="shared" si="3"/>
        <v>0</v>
      </c>
      <c r="J7" s="56">
        <v>1</v>
      </c>
      <c r="K7" s="57"/>
      <c r="L7" s="58">
        <f t="shared" si="4"/>
        <v>-6.8182</v>
      </c>
      <c r="M7" s="56">
        <v>1</v>
      </c>
      <c r="N7" s="57"/>
      <c r="O7" s="58">
        <f t="shared" si="0"/>
        <v>-6.4286</v>
      </c>
      <c r="P7" s="92"/>
      <c r="Q7" s="101"/>
      <c r="R7" s="58">
        <f t="shared" si="5"/>
        <v>0</v>
      </c>
      <c r="S7" s="56"/>
      <c r="T7" s="59"/>
      <c r="U7" s="77">
        <f t="shared" si="1"/>
        <v>-23.4088</v>
      </c>
      <c r="W7" s="89"/>
    </row>
    <row r="8" spans="1:23" ht="12.75">
      <c r="A8" s="2">
        <v>6</v>
      </c>
      <c r="B8" s="79" t="s">
        <v>183</v>
      </c>
      <c r="C8" s="55">
        <f>'2011年4月'!U8</f>
        <v>0</v>
      </c>
      <c r="D8" s="56"/>
      <c r="E8" s="57"/>
      <c r="F8" s="58">
        <f t="shared" si="2"/>
        <v>0</v>
      </c>
      <c r="G8" s="56"/>
      <c r="H8" s="57"/>
      <c r="I8" s="58">
        <f t="shared" si="3"/>
        <v>0</v>
      </c>
      <c r="J8" s="56"/>
      <c r="K8" s="57"/>
      <c r="L8" s="58">
        <f t="shared" si="4"/>
        <v>0</v>
      </c>
      <c r="M8" s="56">
        <v>1</v>
      </c>
      <c r="N8" s="57">
        <v>100</v>
      </c>
      <c r="O8" s="58">
        <f t="shared" si="0"/>
        <v>-6.4286</v>
      </c>
      <c r="P8" s="92">
        <v>1</v>
      </c>
      <c r="Q8" s="101"/>
      <c r="R8" s="58">
        <f t="shared" si="5"/>
        <v>-10.238</v>
      </c>
      <c r="S8" s="60"/>
      <c r="T8" s="59"/>
      <c r="U8" s="77">
        <f t="shared" si="1"/>
        <v>83.3334</v>
      </c>
      <c r="W8" s="89"/>
    </row>
    <row r="9" spans="1:23" ht="12.75">
      <c r="A9" s="2">
        <v>7</v>
      </c>
      <c r="B9" s="82" t="s">
        <v>71</v>
      </c>
      <c r="C9" s="67">
        <f>'2011年4月'!U9</f>
        <v>45.3323</v>
      </c>
      <c r="D9" s="112"/>
      <c r="E9" s="111"/>
      <c r="F9" s="70">
        <f t="shared" si="2"/>
        <v>0</v>
      </c>
      <c r="G9" s="112"/>
      <c r="H9" s="111"/>
      <c r="I9" s="70">
        <f t="shared" si="3"/>
        <v>0</v>
      </c>
      <c r="J9" s="112"/>
      <c r="K9" s="111"/>
      <c r="L9" s="70">
        <f t="shared" si="4"/>
        <v>0</v>
      </c>
      <c r="M9" s="112"/>
      <c r="N9" s="111"/>
      <c r="O9" s="70">
        <f t="shared" si="0"/>
        <v>0</v>
      </c>
      <c r="P9" s="113"/>
      <c r="Q9" s="114"/>
      <c r="R9" s="70">
        <f t="shared" si="5"/>
        <v>0</v>
      </c>
      <c r="S9" s="112"/>
      <c r="T9" s="115"/>
      <c r="U9" s="77">
        <f t="shared" si="1"/>
        <v>45.3323</v>
      </c>
      <c r="W9" s="89"/>
    </row>
    <row r="10" spans="1:23" ht="12.75">
      <c r="A10" s="2">
        <v>8</v>
      </c>
      <c r="B10" s="82" t="s">
        <v>166</v>
      </c>
      <c r="C10" s="67">
        <f>'2011年4月'!U10</f>
        <v>72.53809999999997</v>
      </c>
      <c r="D10" s="72">
        <v>1</v>
      </c>
      <c r="E10" s="69"/>
      <c r="F10" s="70">
        <f t="shared" si="2"/>
        <v>-6.6176</v>
      </c>
      <c r="G10" s="72">
        <v>1</v>
      </c>
      <c r="H10" s="69">
        <v>100</v>
      </c>
      <c r="I10" s="70">
        <f>-18.125*G10-10</f>
        <v>-28.125</v>
      </c>
      <c r="J10" s="72">
        <v>1</v>
      </c>
      <c r="K10" s="69"/>
      <c r="L10" s="70">
        <f t="shared" si="4"/>
        <v>-6.8182</v>
      </c>
      <c r="M10" s="72">
        <v>1</v>
      </c>
      <c r="N10" s="69"/>
      <c r="O10" s="70">
        <f t="shared" si="0"/>
        <v>-6.4286</v>
      </c>
      <c r="P10" s="94">
        <v>1</v>
      </c>
      <c r="Q10" s="103"/>
      <c r="R10" s="70">
        <f t="shared" si="5"/>
        <v>-10.238</v>
      </c>
      <c r="S10" s="72"/>
      <c r="T10" s="71"/>
      <c r="U10" s="77">
        <f t="shared" si="1"/>
        <v>114.31069999999998</v>
      </c>
      <c r="W10" s="89"/>
    </row>
    <row r="11" spans="1:23" ht="12.75">
      <c r="A11" s="2">
        <v>9</v>
      </c>
      <c r="B11" s="82" t="s">
        <v>130</v>
      </c>
      <c r="C11" s="67">
        <f>'2011年4月'!U11</f>
        <v>29.416999999999994</v>
      </c>
      <c r="D11" s="68">
        <v>1</v>
      </c>
      <c r="E11" s="69"/>
      <c r="F11" s="70">
        <f t="shared" si="2"/>
        <v>-6.6176</v>
      </c>
      <c r="G11" s="68">
        <v>1</v>
      </c>
      <c r="H11" s="69"/>
      <c r="I11" s="70">
        <f t="shared" si="3"/>
        <v>-18.125</v>
      </c>
      <c r="J11" s="68">
        <v>1</v>
      </c>
      <c r="K11" s="69"/>
      <c r="L11" s="70">
        <f t="shared" si="4"/>
        <v>-6.8182</v>
      </c>
      <c r="M11" s="68">
        <v>1</v>
      </c>
      <c r="N11" s="69"/>
      <c r="O11" s="70">
        <f t="shared" si="0"/>
        <v>-6.4286</v>
      </c>
      <c r="P11" s="93"/>
      <c r="Q11" s="102"/>
      <c r="R11" s="70">
        <f t="shared" si="5"/>
        <v>0</v>
      </c>
      <c r="S11" s="68"/>
      <c r="T11" s="71"/>
      <c r="U11" s="77">
        <f t="shared" si="1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'2011年4月'!U12</f>
        <v>43.93019999999997</v>
      </c>
      <c r="D12" s="62">
        <v>1</v>
      </c>
      <c r="E12" s="63"/>
      <c r="F12" s="64">
        <f t="shared" si="2"/>
        <v>-6.6176</v>
      </c>
      <c r="G12" s="62"/>
      <c r="H12" s="63"/>
      <c r="I12" s="64">
        <f t="shared" si="3"/>
        <v>0</v>
      </c>
      <c r="J12" s="62">
        <v>1</v>
      </c>
      <c r="K12" s="63"/>
      <c r="L12" s="64">
        <f t="shared" si="4"/>
        <v>-6.8182</v>
      </c>
      <c r="M12" s="62">
        <v>1</v>
      </c>
      <c r="N12" s="63"/>
      <c r="O12" s="64">
        <f t="shared" si="0"/>
        <v>-6.4286</v>
      </c>
      <c r="P12" s="95">
        <v>1</v>
      </c>
      <c r="Q12" s="104"/>
      <c r="R12" s="64">
        <f t="shared" si="5"/>
        <v>-10.238</v>
      </c>
      <c r="S12" s="62"/>
      <c r="T12" s="66"/>
      <c r="U12" s="77">
        <f t="shared" si="1"/>
        <v>13.827799999999968</v>
      </c>
      <c r="W12" s="89"/>
    </row>
    <row r="13" spans="1:23" ht="12.75">
      <c r="A13" s="2">
        <v>11</v>
      </c>
      <c r="B13" s="80" t="s">
        <v>75</v>
      </c>
      <c r="C13" s="61">
        <f>'2011年4月'!U13</f>
        <v>22.684999999999995</v>
      </c>
      <c r="D13" s="62">
        <v>1</v>
      </c>
      <c r="E13" s="63"/>
      <c r="F13" s="64">
        <f t="shared" si="2"/>
        <v>-6.6176</v>
      </c>
      <c r="G13" s="62"/>
      <c r="H13" s="63"/>
      <c r="I13" s="64">
        <f t="shared" si="3"/>
        <v>0</v>
      </c>
      <c r="J13" s="62">
        <v>1</v>
      </c>
      <c r="K13" s="63"/>
      <c r="L13" s="64">
        <f t="shared" si="4"/>
        <v>-6.8182</v>
      </c>
      <c r="M13" s="62">
        <v>1</v>
      </c>
      <c r="N13" s="63"/>
      <c r="O13" s="64">
        <f t="shared" si="0"/>
        <v>-6.4286</v>
      </c>
      <c r="P13" s="95"/>
      <c r="Q13" s="104"/>
      <c r="R13" s="64">
        <f t="shared" si="5"/>
        <v>0</v>
      </c>
      <c r="S13" s="65"/>
      <c r="T13" s="66"/>
      <c r="U13" s="77">
        <f t="shared" si="1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'2011年4月'!U14</f>
        <v>3.5303999999999967</v>
      </c>
      <c r="D14" s="62">
        <v>1</v>
      </c>
      <c r="E14" s="63"/>
      <c r="F14" s="64">
        <f t="shared" si="2"/>
        <v>-6.6176</v>
      </c>
      <c r="G14" s="62"/>
      <c r="H14" s="63"/>
      <c r="I14" s="64">
        <f t="shared" si="3"/>
        <v>0</v>
      </c>
      <c r="J14" s="62">
        <v>1</v>
      </c>
      <c r="K14" s="63"/>
      <c r="L14" s="64">
        <f t="shared" si="4"/>
        <v>-6.8182</v>
      </c>
      <c r="M14" s="62">
        <v>1</v>
      </c>
      <c r="N14" s="63"/>
      <c r="O14" s="64">
        <f t="shared" si="0"/>
        <v>-6.4286</v>
      </c>
      <c r="P14" s="95">
        <v>1</v>
      </c>
      <c r="Q14" s="104">
        <v>100</v>
      </c>
      <c r="R14" s="64">
        <f t="shared" si="5"/>
        <v>-10.238</v>
      </c>
      <c r="S14" s="62"/>
      <c r="T14" s="66"/>
      <c r="U14" s="77">
        <f t="shared" si="1"/>
        <v>73.428</v>
      </c>
      <c r="W14" s="89"/>
    </row>
    <row r="15" spans="1:23" ht="12.75">
      <c r="A15" s="2">
        <v>13</v>
      </c>
      <c r="B15" s="81" t="s">
        <v>77</v>
      </c>
      <c r="C15" s="43">
        <f>'2011年4月'!U15</f>
        <v>55.3955</v>
      </c>
      <c r="D15" s="44">
        <v>1</v>
      </c>
      <c r="E15" s="45"/>
      <c r="F15" s="46">
        <f t="shared" si="2"/>
        <v>-6.6176</v>
      </c>
      <c r="G15" s="44"/>
      <c r="H15" s="45"/>
      <c r="I15" s="46">
        <f t="shared" si="3"/>
        <v>0</v>
      </c>
      <c r="J15" s="44">
        <v>1</v>
      </c>
      <c r="K15" s="45"/>
      <c r="L15" s="46">
        <f t="shared" si="4"/>
        <v>-6.8182</v>
      </c>
      <c r="M15" s="44">
        <v>1</v>
      </c>
      <c r="N15" s="45"/>
      <c r="O15" s="46">
        <f t="shared" si="0"/>
        <v>-6.4286</v>
      </c>
      <c r="P15" s="96"/>
      <c r="Q15" s="105"/>
      <c r="R15" s="46">
        <f t="shared" si="5"/>
        <v>0</v>
      </c>
      <c r="S15" s="48"/>
      <c r="T15" s="47"/>
      <c r="U15" s="77">
        <f t="shared" si="1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'2011年4月'!U16</f>
        <v>20.002299999999984</v>
      </c>
      <c r="D16" s="44">
        <v>1</v>
      </c>
      <c r="E16" s="45"/>
      <c r="F16" s="46">
        <f t="shared" si="2"/>
        <v>-6.6176</v>
      </c>
      <c r="G16" s="44">
        <v>1</v>
      </c>
      <c r="H16" s="45"/>
      <c r="I16" s="46">
        <f t="shared" si="3"/>
        <v>-18.125</v>
      </c>
      <c r="J16" s="44">
        <v>1</v>
      </c>
      <c r="K16" s="45"/>
      <c r="L16" s="46">
        <f t="shared" si="4"/>
        <v>-6.8182</v>
      </c>
      <c r="M16" s="44">
        <v>1</v>
      </c>
      <c r="N16" s="45"/>
      <c r="O16" s="46">
        <f t="shared" si="0"/>
        <v>-6.4286</v>
      </c>
      <c r="P16" s="96">
        <v>1</v>
      </c>
      <c r="Q16" s="105"/>
      <c r="R16" s="46">
        <f t="shared" si="5"/>
        <v>-10.238</v>
      </c>
      <c r="S16" s="44"/>
      <c r="T16" s="47"/>
      <c r="U16" s="77">
        <f t="shared" si="1"/>
        <v>-28.225100000000015</v>
      </c>
      <c r="W16" s="89"/>
    </row>
    <row r="17" spans="1:23" ht="12.75">
      <c r="A17" s="2">
        <v>15</v>
      </c>
      <c r="B17" s="81" t="s">
        <v>184</v>
      </c>
      <c r="C17" s="43">
        <f>'2011年4月'!U17</f>
        <v>0</v>
      </c>
      <c r="D17" s="44"/>
      <c r="E17" s="45"/>
      <c r="F17" s="46">
        <f t="shared" si="2"/>
        <v>0</v>
      </c>
      <c r="G17" s="44"/>
      <c r="H17" s="45"/>
      <c r="I17" s="46">
        <f t="shared" si="3"/>
        <v>0</v>
      </c>
      <c r="J17" s="44"/>
      <c r="K17" s="45"/>
      <c r="L17" s="46">
        <f t="shared" si="4"/>
        <v>0</v>
      </c>
      <c r="M17" s="44"/>
      <c r="N17" s="45"/>
      <c r="O17" s="46">
        <f t="shared" si="0"/>
        <v>0</v>
      </c>
      <c r="P17" s="96">
        <v>1</v>
      </c>
      <c r="Q17" s="105">
        <v>100</v>
      </c>
      <c r="R17" s="46">
        <f t="shared" si="5"/>
        <v>-10.238</v>
      </c>
      <c r="S17" s="48"/>
      <c r="T17" s="47"/>
      <c r="U17" s="77">
        <f t="shared" si="1"/>
        <v>89.762</v>
      </c>
      <c r="W17" s="89"/>
    </row>
    <row r="18" spans="1:23" ht="12.75">
      <c r="A18" s="2">
        <v>16</v>
      </c>
      <c r="B18" s="78" t="s">
        <v>79</v>
      </c>
      <c r="C18" s="49">
        <f>'2011年4月'!U18</f>
        <v>83.02649999999998</v>
      </c>
      <c r="D18" s="50">
        <v>1</v>
      </c>
      <c r="E18" s="51"/>
      <c r="F18" s="52">
        <f t="shared" si="2"/>
        <v>-6.6176</v>
      </c>
      <c r="G18" s="50"/>
      <c r="H18" s="51"/>
      <c r="I18" s="52">
        <f t="shared" si="3"/>
        <v>0</v>
      </c>
      <c r="J18" s="50">
        <v>1</v>
      </c>
      <c r="K18" s="51"/>
      <c r="L18" s="52">
        <f t="shared" si="4"/>
        <v>-6.8182</v>
      </c>
      <c r="M18" s="50">
        <v>1</v>
      </c>
      <c r="N18" s="51"/>
      <c r="O18" s="52">
        <f t="shared" si="0"/>
        <v>-6.4286</v>
      </c>
      <c r="P18" s="90"/>
      <c r="Q18" s="99"/>
      <c r="R18" s="52">
        <f t="shared" si="5"/>
        <v>0</v>
      </c>
      <c r="S18" s="50"/>
      <c r="T18" s="53"/>
      <c r="U18" s="77">
        <f t="shared" si="1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'2011年4月'!U19</f>
        <v>58.750599999999984</v>
      </c>
      <c r="D19" s="50">
        <v>1</v>
      </c>
      <c r="E19" s="51"/>
      <c r="F19" s="52">
        <f t="shared" si="2"/>
        <v>-6.6176</v>
      </c>
      <c r="G19" s="50">
        <v>1</v>
      </c>
      <c r="H19" s="51"/>
      <c r="I19" s="52">
        <f t="shared" si="3"/>
        <v>-18.125</v>
      </c>
      <c r="J19" s="50">
        <v>1</v>
      </c>
      <c r="K19" s="51"/>
      <c r="L19" s="52">
        <f t="shared" si="4"/>
        <v>-6.8182</v>
      </c>
      <c r="M19" s="50">
        <v>1</v>
      </c>
      <c r="N19" s="51"/>
      <c r="O19" s="52">
        <f t="shared" si="0"/>
        <v>-6.4286</v>
      </c>
      <c r="P19" s="90">
        <v>1</v>
      </c>
      <c r="Q19" s="99"/>
      <c r="R19" s="52">
        <f t="shared" si="5"/>
        <v>-10.238</v>
      </c>
      <c r="S19" s="54"/>
      <c r="T19" s="53"/>
      <c r="U19" s="77">
        <f t="shared" si="1"/>
        <v>10.523199999999981</v>
      </c>
      <c r="W19" s="89"/>
    </row>
    <row r="20" spans="1:23" ht="12.75">
      <c r="A20" s="2">
        <v>18</v>
      </c>
      <c r="B20" s="78" t="s">
        <v>134</v>
      </c>
      <c r="C20" s="49">
        <f>'2011年4月'!U20</f>
        <v>46.586600000000004</v>
      </c>
      <c r="D20" s="50">
        <v>1</v>
      </c>
      <c r="E20" s="51"/>
      <c r="F20" s="52">
        <f t="shared" si="2"/>
        <v>-6.6176</v>
      </c>
      <c r="G20" s="50"/>
      <c r="H20" s="51"/>
      <c r="I20" s="52">
        <f t="shared" si="3"/>
        <v>0</v>
      </c>
      <c r="J20" s="50">
        <v>1</v>
      </c>
      <c r="K20" s="51"/>
      <c r="L20" s="52">
        <f t="shared" si="4"/>
        <v>-6.8182</v>
      </c>
      <c r="M20" s="50">
        <v>1</v>
      </c>
      <c r="N20" s="51"/>
      <c r="O20" s="52">
        <f t="shared" si="0"/>
        <v>-6.4286</v>
      </c>
      <c r="P20" s="90"/>
      <c r="Q20" s="99"/>
      <c r="R20" s="52">
        <f t="shared" si="5"/>
        <v>0</v>
      </c>
      <c r="S20" s="50"/>
      <c r="T20" s="53"/>
      <c r="U20" s="77">
        <f t="shared" si="1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'2011年4月'!U21</f>
        <v>86.55019999999998</v>
      </c>
      <c r="D21" s="56">
        <v>1</v>
      </c>
      <c r="E21" s="57"/>
      <c r="F21" s="58">
        <f t="shared" si="2"/>
        <v>-6.6176</v>
      </c>
      <c r="G21" s="56">
        <v>1</v>
      </c>
      <c r="H21" s="57"/>
      <c r="I21" s="58">
        <f t="shared" si="3"/>
        <v>-18.125</v>
      </c>
      <c r="J21" s="56">
        <v>1</v>
      </c>
      <c r="K21" s="57"/>
      <c r="L21" s="58">
        <f t="shared" si="4"/>
        <v>-6.8182</v>
      </c>
      <c r="M21" s="56">
        <v>1</v>
      </c>
      <c r="N21" s="57"/>
      <c r="O21" s="58">
        <f t="shared" si="0"/>
        <v>-6.4286</v>
      </c>
      <c r="P21" s="92"/>
      <c r="Q21" s="101"/>
      <c r="R21" s="58">
        <f t="shared" si="5"/>
        <v>0</v>
      </c>
      <c r="S21" s="60"/>
      <c r="T21" s="59"/>
      <c r="U21" s="77">
        <f t="shared" si="1"/>
        <v>48.56079999999998</v>
      </c>
      <c r="W21" s="89"/>
    </row>
    <row r="22" spans="1:23" ht="12.75">
      <c r="A22" s="2">
        <v>20</v>
      </c>
      <c r="B22" s="79"/>
      <c r="C22" s="55">
        <f>'2011年4月'!U22</f>
        <v>0</v>
      </c>
      <c r="D22" s="56"/>
      <c r="E22" s="57"/>
      <c r="F22" s="58">
        <f t="shared" si="2"/>
        <v>0</v>
      </c>
      <c r="G22" s="56"/>
      <c r="H22" s="57"/>
      <c r="I22" s="58">
        <f t="shared" si="3"/>
        <v>0</v>
      </c>
      <c r="J22" s="56"/>
      <c r="K22" s="57"/>
      <c r="L22" s="58">
        <f t="shared" si="4"/>
        <v>0</v>
      </c>
      <c r="M22" s="56"/>
      <c r="N22" s="57"/>
      <c r="O22" s="58">
        <f t="shared" si="0"/>
        <v>0</v>
      </c>
      <c r="P22" s="92"/>
      <c r="Q22" s="101"/>
      <c r="R22" s="58">
        <f t="shared" si="5"/>
        <v>0</v>
      </c>
      <c r="S22" s="56"/>
      <c r="T22" s="59"/>
      <c r="U22" s="77">
        <f t="shared" si="1"/>
        <v>0</v>
      </c>
      <c r="W22" s="89"/>
    </row>
    <row r="23" spans="1:23" ht="12.75">
      <c r="A23" s="2">
        <v>21</v>
      </c>
      <c r="B23" s="79" t="s">
        <v>128</v>
      </c>
      <c r="C23" s="55">
        <f>'2011年4月'!U23</f>
        <v>34.3461</v>
      </c>
      <c r="D23" s="56">
        <v>1</v>
      </c>
      <c r="E23" s="57"/>
      <c r="F23" s="58">
        <f t="shared" si="2"/>
        <v>-6.6176</v>
      </c>
      <c r="G23" s="56">
        <v>1</v>
      </c>
      <c r="H23" s="57">
        <v>100</v>
      </c>
      <c r="I23" s="58">
        <f t="shared" si="3"/>
        <v>-18.125</v>
      </c>
      <c r="J23" s="56">
        <v>1</v>
      </c>
      <c r="K23" s="57"/>
      <c r="L23" s="58">
        <f t="shared" si="4"/>
        <v>-6.8182</v>
      </c>
      <c r="M23" s="56">
        <v>1</v>
      </c>
      <c r="N23" s="57"/>
      <c r="O23" s="58">
        <f t="shared" si="0"/>
        <v>-6.4286</v>
      </c>
      <c r="P23" s="92"/>
      <c r="Q23" s="101"/>
      <c r="R23" s="58">
        <f t="shared" si="5"/>
        <v>0</v>
      </c>
      <c r="S23" s="60"/>
      <c r="T23" s="59"/>
      <c r="U23" s="77">
        <f t="shared" si="1"/>
        <v>96.35669999999999</v>
      </c>
      <c r="W23" s="89"/>
    </row>
    <row r="24" spans="1:23" ht="12.75">
      <c r="A24" s="2">
        <v>22</v>
      </c>
      <c r="B24" s="82" t="s">
        <v>135</v>
      </c>
      <c r="C24" s="67">
        <f>'2011年4月'!U24</f>
        <v>18.39289999999999</v>
      </c>
      <c r="D24" s="68">
        <v>1</v>
      </c>
      <c r="E24" s="69"/>
      <c r="F24" s="70">
        <f t="shared" si="2"/>
        <v>-6.6176</v>
      </c>
      <c r="G24" s="68"/>
      <c r="H24" s="69"/>
      <c r="I24" s="70">
        <f t="shared" si="3"/>
        <v>0</v>
      </c>
      <c r="J24" s="68">
        <v>1</v>
      </c>
      <c r="K24" s="69">
        <v>100</v>
      </c>
      <c r="L24" s="70">
        <f t="shared" si="4"/>
        <v>-6.8182</v>
      </c>
      <c r="M24" s="68">
        <v>1</v>
      </c>
      <c r="N24" s="69"/>
      <c r="O24" s="70">
        <f t="shared" si="0"/>
        <v>-6.4286</v>
      </c>
      <c r="P24" s="93"/>
      <c r="Q24" s="102"/>
      <c r="R24" s="70">
        <f t="shared" si="5"/>
        <v>0</v>
      </c>
      <c r="S24" s="68"/>
      <c r="T24" s="71"/>
      <c r="U24" s="77">
        <f t="shared" si="1"/>
        <v>98.52849999999998</v>
      </c>
      <c r="W24" s="89"/>
    </row>
    <row r="25" spans="1:23" ht="12.75">
      <c r="A25" s="2">
        <v>23</v>
      </c>
      <c r="B25" s="82" t="s">
        <v>136</v>
      </c>
      <c r="C25" s="67">
        <f>'2011年4月'!U25</f>
        <v>21.601400000000005</v>
      </c>
      <c r="D25" s="68">
        <v>1</v>
      </c>
      <c r="E25" s="69"/>
      <c r="F25" s="70">
        <f t="shared" si="2"/>
        <v>-6.6176</v>
      </c>
      <c r="G25" s="68">
        <v>1</v>
      </c>
      <c r="H25" s="69"/>
      <c r="I25" s="70">
        <f t="shared" si="3"/>
        <v>-18.125</v>
      </c>
      <c r="J25" s="68">
        <v>1</v>
      </c>
      <c r="K25" s="69"/>
      <c r="L25" s="70">
        <f t="shared" si="4"/>
        <v>-6.8182</v>
      </c>
      <c r="M25" s="68">
        <v>1</v>
      </c>
      <c r="N25" s="69"/>
      <c r="O25" s="70">
        <f t="shared" si="0"/>
        <v>-6.4286</v>
      </c>
      <c r="P25" s="93">
        <v>1</v>
      </c>
      <c r="Q25" s="102"/>
      <c r="R25" s="70">
        <f t="shared" si="5"/>
        <v>-10.238</v>
      </c>
      <c r="S25" s="68"/>
      <c r="T25" s="71"/>
      <c r="U25" s="77">
        <f t="shared" si="1"/>
        <v>-26.625999999999994</v>
      </c>
      <c r="W25" s="89"/>
    </row>
    <row r="26" spans="1:23" ht="12.75">
      <c r="A26" s="2">
        <v>24</v>
      </c>
      <c r="B26" s="82" t="s">
        <v>86</v>
      </c>
      <c r="C26" s="67">
        <f>'2011年4月'!U26</f>
        <v>0.7774999999999892</v>
      </c>
      <c r="D26" s="68"/>
      <c r="E26" s="69"/>
      <c r="F26" s="70">
        <f t="shared" si="2"/>
        <v>0</v>
      </c>
      <c r="G26" s="68"/>
      <c r="H26" s="69"/>
      <c r="I26" s="70">
        <f t="shared" si="3"/>
        <v>0</v>
      </c>
      <c r="J26" s="68"/>
      <c r="K26" s="69"/>
      <c r="L26" s="70">
        <f t="shared" si="4"/>
        <v>0</v>
      </c>
      <c r="M26" s="68"/>
      <c r="N26" s="69"/>
      <c r="O26" s="70">
        <f t="shared" si="0"/>
        <v>0</v>
      </c>
      <c r="P26" s="93">
        <v>1</v>
      </c>
      <c r="Q26" s="102">
        <v>100</v>
      </c>
      <c r="R26" s="70">
        <f t="shared" si="5"/>
        <v>-10.238</v>
      </c>
      <c r="S26" s="72"/>
      <c r="T26" s="71"/>
      <c r="U26" s="77">
        <f t="shared" si="1"/>
        <v>90.53949999999999</v>
      </c>
      <c r="W26" s="89"/>
    </row>
    <row r="27" spans="1:23" ht="12.75">
      <c r="A27" s="2">
        <v>25</v>
      </c>
      <c r="B27" s="80" t="s">
        <v>137</v>
      </c>
      <c r="C27" s="61">
        <f>'2011年4月'!U27</f>
        <v>-47.809999999999995</v>
      </c>
      <c r="D27" s="62">
        <v>1</v>
      </c>
      <c r="E27" s="74"/>
      <c r="F27" s="64">
        <f t="shared" si="2"/>
        <v>-6.6176</v>
      </c>
      <c r="G27" s="62"/>
      <c r="H27" s="74"/>
      <c r="I27" s="64">
        <f t="shared" si="3"/>
        <v>0</v>
      </c>
      <c r="J27" s="62">
        <v>1</v>
      </c>
      <c r="K27" s="74"/>
      <c r="L27" s="64">
        <f t="shared" si="4"/>
        <v>-6.8182</v>
      </c>
      <c r="M27" s="62">
        <v>1</v>
      </c>
      <c r="N27" s="74"/>
      <c r="O27" s="64">
        <f t="shared" si="0"/>
        <v>-6.4286</v>
      </c>
      <c r="P27" s="95"/>
      <c r="Q27" s="104"/>
      <c r="R27" s="64">
        <f t="shared" si="5"/>
        <v>0</v>
      </c>
      <c r="S27" s="62"/>
      <c r="T27" s="66"/>
      <c r="U27" s="77">
        <f t="shared" si="1"/>
        <v>-67.67439999999999</v>
      </c>
      <c r="W27" s="89"/>
    </row>
    <row r="28" spans="1:23" ht="12.75">
      <c r="A28" s="2">
        <v>26</v>
      </c>
      <c r="B28" s="80" t="s">
        <v>68</v>
      </c>
      <c r="C28" s="61">
        <f>'2011年4月'!U28</f>
        <v>-20.633199999999995</v>
      </c>
      <c r="D28" s="65">
        <v>1</v>
      </c>
      <c r="E28" s="74"/>
      <c r="F28" s="64">
        <f t="shared" si="2"/>
        <v>-6.6176</v>
      </c>
      <c r="G28" s="65"/>
      <c r="H28" s="74"/>
      <c r="I28" s="64">
        <f t="shared" si="3"/>
        <v>0</v>
      </c>
      <c r="J28" s="65">
        <v>1</v>
      </c>
      <c r="K28" s="74"/>
      <c r="L28" s="64">
        <f t="shared" si="4"/>
        <v>-6.8182</v>
      </c>
      <c r="M28" s="65">
        <v>1</v>
      </c>
      <c r="N28" s="74"/>
      <c r="O28" s="64">
        <f t="shared" si="0"/>
        <v>-6.4286</v>
      </c>
      <c r="P28" s="97">
        <v>1</v>
      </c>
      <c r="Q28" s="106"/>
      <c r="R28" s="64">
        <f t="shared" si="5"/>
        <v>-10.238</v>
      </c>
      <c r="S28" s="65"/>
      <c r="T28" s="66"/>
      <c r="U28" s="77">
        <f t="shared" si="1"/>
        <v>-50.7356</v>
      </c>
      <c r="W28" s="89"/>
    </row>
    <row r="29" spans="1:23" ht="12.75">
      <c r="A29" s="2">
        <v>27</v>
      </c>
      <c r="B29" s="80" t="s">
        <v>88</v>
      </c>
      <c r="C29" s="61">
        <f>'2011年4月'!U29</f>
        <v>-1.7763568394002505E-15</v>
      </c>
      <c r="D29" s="112"/>
      <c r="E29" s="111"/>
      <c r="F29" s="64">
        <f t="shared" si="2"/>
        <v>0</v>
      </c>
      <c r="G29" s="112"/>
      <c r="H29" s="111"/>
      <c r="I29" s="64">
        <f t="shared" si="3"/>
        <v>0</v>
      </c>
      <c r="J29" s="112"/>
      <c r="K29" s="111"/>
      <c r="L29" s="64">
        <f t="shared" si="4"/>
        <v>0</v>
      </c>
      <c r="M29" s="112"/>
      <c r="N29" s="111"/>
      <c r="O29" s="64">
        <f t="shared" si="0"/>
        <v>0</v>
      </c>
      <c r="P29" s="113"/>
      <c r="Q29" s="114"/>
      <c r="R29" s="64">
        <f t="shared" si="5"/>
        <v>0</v>
      </c>
      <c r="S29" s="112"/>
      <c r="T29" s="115"/>
      <c r="U29" s="77">
        <f t="shared" si="1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'2011年4月'!U30</f>
        <v>4.541199999999996</v>
      </c>
      <c r="D30" s="48">
        <v>1</v>
      </c>
      <c r="E30" s="75"/>
      <c r="F30" s="46">
        <f t="shared" si="2"/>
        <v>-6.6176</v>
      </c>
      <c r="G30" s="48"/>
      <c r="H30" s="75"/>
      <c r="I30" s="46">
        <f t="shared" si="3"/>
        <v>0</v>
      </c>
      <c r="J30" s="48">
        <v>1</v>
      </c>
      <c r="K30" s="75"/>
      <c r="L30" s="46">
        <f t="shared" si="4"/>
        <v>-6.8182</v>
      </c>
      <c r="M30" s="48">
        <v>1</v>
      </c>
      <c r="N30" s="75"/>
      <c r="O30" s="46">
        <f t="shared" si="0"/>
        <v>-6.4286</v>
      </c>
      <c r="P30" s="98"/>
      <c r="Q30" s="107"/>
      <c r="R30" s="46">
        <f t="shared" si="5"/>
        <v>0</v>
      </c>
      <c r="S30" s="48"/>
      <c r="T30" s="47"/>
      <c r="U30" s="77">
        <f t="shared" si="1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'2011年4月'!U31</f>
        <v>3.1761000000000017</v>
      </c>
      <c r="D31" s="44">
        <v>1</v>
      </c>
      <c r="E31" s="75"/>
      <c r="F31" s="46">
        <f t="shared" si="2"/>
        <v>-6.6176</v>
      </c>
      <c r="G31" s="44"/>
      <c r="H31" s="75"/>
      <c r="I31" s="46">
        <f t="shared" si="3"/>
        <v>0</v>
      </c>
      <c r="J31" s="44">
        <v>1</v>
      </c>
      <c r="K31" s="75"/>
      <c r="L31" s="46">
        <f t="shared" si="4"/>
        <v>-6.8182</v>
      </c>
      <c r="M31" s="44">
        <v>1</v>
      </c>
      <c r="N31" s="75"/>
      <c r="O31" s="46">
        <f t="shared" si="0"/>
        <v>-6.4286</v>
      </c>
      <c r="P31" s="96"/>
      <c r="Q31" s="105"/>
      <c r="R31" s="46">
        <f t="shared" si="5"/>
        <v>0</v>
      </c>
      <c r="S31" s="44"/>
      <c r="T31" s="47"/>
      <c r="U31" s="77">
        <f t="shared" si="1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'2011年4月'!U32</f>
        <v>12.203800000000001</v>
      </c>
      <c r="D32" s="48"/>
      <c r="E32" s="75"/>
      <c r="F32" s="46">
        <f t="shared" si="2"/>
        <v>0</v>
      </c>
      <c r="G32" s="48"/>
      <c r="H32" s="75"/>
      <c r="I32" s="46">
        <f t="shared" si="3"/>
        <v>0</v>
      </c>
      <c r="J32" s="48"/>
      <c r="K32" s="75"/>
      <c r="L32" s="46">
        <f t="shared" si="4"/>
        <v>0</v>
      </c>
      <c r="M32" s="48"/>
      <c r="N32" s="75"/>
      <c r="O32" s="46">
        <f t="shared" si="0"/>
        <v>0</v>
      </c>
      <c r="P32" s="98"/>
      <c r="Q32" s="107"/>
      <c r="R32" s="46">
        <f t="shared" si="5"/>
        <v>0</v>
      </c>
      <c r="S32" s="48"/>
      <c r="T32" s="47"/>
      <c r="U32" s="77">
        <f t="shared" si="1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'2011年4月'!U33</f>
        <v>-3.5113000000000145</v>
      </c>
      <c r="D33" s="50">
        <v>1</v>
      </c>
      <c r="E33" s="51">
        <v>100</v>
      </c>
      <c r="F33" s="52">
        <f t="shared" si="2"/>
        <v>-6.6176</v>
      </c>
      <c r="G33" s="50">
        <v>1</v>
      </c>
      <c r="H33" s="51"/>
      <c r="I33" s="52">
        <f t="shared" si="3"/>
        <v>-18.125</v>
      </c>
      <c r="J33" s="50">
        <v>1</v>
      </c>
      <c r="K33" s="51"/>
      <c r="L33" s="52">
        <f t="shared" si="4"/>
        <v>-6.8182</v>
      </c>
      <c r="M33" s="50">
        <v>1</v>
      </c>
      <c r="N33" s="51"/>
      <c r="O33" s="52">
        <f t="shared" si="0"/>
        <v>-6.4286</v>
      </c>
      <c r="P33" s="90">
        <v>1</v>
      </c>
      <c r="Q33" s="99"/>
      <c r="R33" s="52">
        <f t="shared" si="5"/>
        <v>-10.238</v>
      </c>
      <c r="S33" s="50"/>
      <c r="T33" s="53"/>
      <c r="U33" s="77">
        <f t="shared" si="1"/>
        <v>48.26129999999998</v>
      </c>
      <c r="W33" s="89"/>
    </row>
    <row r="34" spans="1:23" ht="12.75">
      <c r="A34" s="2">
        <v>32</v>
      </c>
      <c r="B34" s="78" t="s">
        <v>170</v>
      </c>
      <c r="C34" s="49">
        <f>'2011年4月'!U34</f>
        <v>44.828999999999965</v>
      </c>
      <c r="D34" s="50">
        <v>1</v>
      </c>
      <c r="E34" s="51"/>
      <c r="F34" s="52">
        <f t="shared" si="2"/>
        <v>-6.6176</v>
      </c>
      <c r="G34" s="88">
        <v>1</v>
      </c>
      <c r="H34" s="51"/>
      <c r="I34" s="52">
        <f t="shared" si="3"/>
        <v>-18.125</v>
      </c>
      <c r="J34" s="88">
        <v>1</v>
      </c>
      <c r="K34" s="51"/>
      <c r="L34" s="52">
        <f t="shared" si="4"/>
        <v>-6.8182</v>
      </c>
      <c r="M34" s="50">
        <v>1</v>
      </c>
      <c r="N34" s="51"/>
      <c r="O34" s="52">
        <f t="shared" si="0"/>
        <v>-6.4286</v>
      </c>
      <c r="P34" s="90"/>
      <c r="Q34" s="99"/>
      <c r="R34" s="52">
        <f t="shared" si="5"/>
        <v>0</v>
      </c>
      <c r="S34" s="54"/>
      <c r="T34" s="53"/>
      <c r="U34" s="77">
        <f t="shared" si="1"/>
        <v>6.839599999999961</v>
      </c>
      <c r="W34" s="89"/>
    </row>
    <row r="35" spans="1:23" ht="12.75">
      <c r="A35" s="2">
        <v>33</v>
      </c>
      <c r="B35" s="78" t="s">
        <v>94</v>
      </c>
      <c r="C35" s="49">
        <f>'2011年4月'!U35</f>
        <v>65.15029999999997</v>
      </c>
      <c r="D35" s="50">
        <v>1</v>
      </c>
      <c r="E35" s="51"/>
      <c r="F35" s="52">
        <f t="shared" si="2"/>
        <v>-6.6176</v>
      </c>
      <c r="G35" s="50">
        <v>1</v>
      </c>
      <c r="H35" s="51"/>
      <c r="I35" s="52">
        <f t="shared" si="3"/>
        <v>-18.125</v>
      </c>
      <c r="J35" s="50">
        <v>1</v>
      </c>
      <c r="K35" s="51"/>
      <c r="L35" s="52">
        <f t="shared" si="4"/>
        <v>-6.8182</v>
      </c>
      <c r="M35" s="50">
        <v>1</v>
      </c>
      <c r="N35" s="51"/>
      <c r="O35" s="52">
        <f aca="true" t="shared" si="6" ref="O35:O53">-6.4286*M35</f>
        <v>-6.4286</v>
      </c>
      <c r="P35" s="90">
        <v>1</v>
      </c>
      <c r="Q35" s="99"/>
      <c r="R35" s="52">
        <f t="shared" si="5"/>
        <v>-10.238</v>
      </c>
      <c r="S35" s="50"/>
      <c r="T35" s="53"/>
      <c r="U35" s="77">
        <f aca="true" t="shared" si="7" ref="U35:U53">C35+E35+F35+H35+I35+K35+L35+N35+O35+T35+Q35+R35</f>
        <v>16.922899999999974</v>
      </c>
      <c r="W35" s="89"/>
    </row>
    <row r="36" spans="1:23" ht="12.75">
      <c r="A36" s="2">
        <v>34</v>
      </c>
      <c r="B36" s="79"/>
      <c r="C36" s="55">
        <f>'2011年4月'!U36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3"/>
        <v>0</v>
      </c>
      <c r="J36" s="56"/>
      <c r="K36" s="57"/>
      <c r="L36" s="58">
        <f t="shared" si="4"/>
        <v>0</v>
      </c>
      <c r="M36" s="56"/>
      <c r="N36" s="57"/>
      <c r="O36" s="58">
        <f t="shared" si="6"/>
        <v>0</v>
      </c>
      <c r="P36" s="92"/>
      <c r="Q36" s="101"/>
      <c r="R36" s="58">
        <f t="shared" si="5"/>
        <v>0</v>
      </c>
      <c r="S36" s="60"/>
      <c r="T36" s="59"/>
      <c r="U36" s="77">
        <f t="shared" si="7"/>
        <v>0</v>
      </c>
      <c r="W36" s="89"/>
    </row>
    <row r="37" spans="1:23" ht="12.75">
      <c r="A37" s="2">
        <v>35</v>
      </c>
      <c r="B37" s="79" t="s">
        <v>95</v>
      </c>
      <c r="C37" s="55">
        <f>'2011年4月'!U37</f>
        <v>47.73749999999997</v>
      </c>
      <c r="D37" s="56">
        <v>1</v>
      </c>
      <c r="E37" s="57"/>
      <c r="F37" s="58">
        <f t="shared" si="2"/>
        <v>-6.6176</v>
      </c>
      <c r="G37" s="56">
        <v>1</v>
      </c>
      <c r="H37" s="57"/>
      <c r="I37" s="58">
        <f t="shared" si="3"/>
        <v>-18.125</v>
      </c>
      <c r="J37" s="56">
        <v>1</v>
      </c>
      <c r="K37" s="57"/>
      <c r="L37" s="58">
        <f t="shared" si="4"/>
        <v>-6.8182</v>
      </c>
      <c r="M37" s="56">
        <v>1</v>
      </c>
      <c r="N37" s="57">
        <v>100</v>
      </c>
      <c r="O37" s="58">
        <f t="shared" si="6"/>
        <v>-6.4286</v>
      </c>
      <c r="P37" s="92">
        <v>1</v>
      </c>
      <c r="Q37" s="101"/>
      <c r="R37" s="58">
        <f t="shared" si="5"/>
        <v>-10.238</v>
      </c>
      <c r="S37" s="56"/>
      <c r="T37" s="59"/>
      <c r="U37" s="77">
        <f t="shared" si="7"/>
        <v>99.51009999999997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'2011年4月'!U38</f>
        <v>196.132</v>
      </c>
      <c r="D38" s="56">
        <v>1</v>
      </c>
      <c r="E38" s="57"/>
      <c r="F38" s="58">
        <f t="shared" si="2"/>
        <v>-6.6176</v>
      </c>
      <c r="G38" s="56">
        <v>1</v>
      </c>
      <c r="H38" s="57"/>
      <c r="I38" s="58">
        <f t="shared" si="3"/>
        <v>-18.125</v>
      </c>
      <c r="J38" s="56"/>
      <c r="K38" s="57"/>
      <c r="L38" s="58">
        <f t="shared" si="4"/>
        <v>0</v>
      </c>
      <c r="M38" s="56"/>
      <c r="N38" s="57"/>
      <c r="O38" s="58">
        <f t="shared" si="6"/>
        <v>0</v>
      </c>
      <c r="P38" s="92">
        <v>1</v>
      </c>
      <c r="Q38" s="101"/>
      <c r="R38" s="58">
        <f t="shared" si="5"/>
        <v>-10.238</v>
      </c>
      <c r="S38" s="60"/>
      <c r="T38" s="59"/>
      <c r="U38" s="77">
        <f t="shared" si="7"/>
        <v>161.1514</v>
      </c>
      <c r="W38" s="89"/>
    </row>
    <row r="39" spans="1:23" ht="12.75">
      <c r="A39" s="2">
        <v>37</v>
      </c>
      <c r="B39" s="82" t="s">
        <v>144</v>
      </c>
      <c r="C39" s="67">
        <f>'2011年4月'!U39</f>
        <v>-1.7763568394002505E-15</v>
      </c>
      <c r="D39" s="112"/>
      <c r="E39" s="111"/>
      <c r="F39" s="70">
        <f t="shared" si="2"/>
        <v>0</v>
      </c>
      <c r="G39" s="112"/>
      <c r="H39" s="111"/>
      <c r="I39" s="70">
        <f t="shared" si="3"/>
        <v>0</v>
      </c>
      <c r="J39" s="112"/>
      <c r="K39" s="111"/>
      <c r="L39" s="70">
        <f t="shared" si="4"/>
        <v>0</v>
      </c>
      <c r="M39" s="112"/>
      <c r="N39" s="111"/>
      <c r="O39" s="70">
        <f t="shared" si="6"/>
        <v>0</v>
      </c>
      <c r="P39" s="113"/>
      <c r="Q39" s="114"/>
      <c r="R39" s="70">
        <f t="shared" si="5"/>
        <v>0</v>
      </c>
      <c r="S39" s="112"/>
      <c r="T39" s="115"/>
      <c r="U39" s="77">
        <f t="shared" si="7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'2011年4月'!U40</f>
        <v>23.5893</v>
      </c>
      <c r="D40" s="112"/>
      <c r="E40" s="111"/>
      <c r="F40" s="70">
        <f t="shared" si="2"/>
        <v>0</v>
      </c>
      <c r="G40" s="112"/>
      <c r="H40" s="111"/>
      <c r="I40" s="70">
        <f t="shared" si="3"/>
        <v>0</v>
      </c>
      <c r="J40" s="112"/>
      <c r="K40" s="111"/>
      <c r="L40" s="70">
        <f t="shared" si="4"/>
        <v>0</v>
      </c>
      <c r="M40" s="112"/>
      <c r="N40" s="111"/>
      <c r="O40" s="70">
        <f t="shared" si="6"/>
        <v>0</v>
      </c>
      <c r="P40" s="113"/>
      <c r="Q40" s="114"/>
      <c r="R40" s="70">
        <f t="shared" si="5"/>
        <v>0</v>
      </c>
      <c r="S40" s="112"/>
      <c r="T40" s="115"/>
      <c r="U40" s="110">
        <f t="shared" si="7"/>
        <v>23.5893</v>
      </c>
      <c r="W40" s="89"/>
    </row>
    <row r="41" spans="1:23" ht="12.75">
      <c r="A41" s="2">
        <v>39</v>
      </c>
      <c r="B41" s="82"/>
      <c r="C41" s="67">
        <f>'2011年4月'!U41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3"/>
        <v>0</v>
      </c>
      <c r="J41" s="68"/>
      <c r="K41" s="69"/>
      <c r="L41" s="70">
        <f t="shared" si="4"/>
        <v>0</v>
      </c>
      <c r="M41" s="68"/>
      <c r="N41" s="69"/>
      <c r="O41" s="70">
        <f t="shared" si="6"/>
        <v>0</v>
      </c>
      <c r="P41" s="93"/>
      <c r="Q41" s="102"/>
      <c r="R41" s="70">
        <f t="shared" si="5"/>
        <v>0</v>
      </c>
      <c r="S41" s="68"/>
      <c r="T41" s="71"/>
      <c r="U41" s="77">
        <f t="shared" si="7"/>
        <v>0</v>
      </c>
      <c r="W41" s="89"/>
    </row>
    <row r="42" spans="1:23" ht="12.75">
      <c r="A42" s="2">
        <v>40</v>
      </c>
      <c r="B42" s="80"/>
      <c r="C42" s="61">
        <f>'2011年4月'!U42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3"/>
        <v>0</v>
      </c>
      <c r="J42" s="62"/>
      <c r="K42" s="74"/>
      <c r="L42" s="64">
        <f t="shared" si="4"/>
        <v>0</v>
      </c>
      <c r="M42" s="62"/>
      <c r="N42" s="74"/>
      <c r="O42" s="64">
        <f t="shared" si="6"/>
        <v>0</v>
      </c>
      <c r="P42" s="95"/>
      <c r="Q42" s="104"/>
      <c r="R42" s="64">
        <f t="shared" si="5"/>
        <v>0</v>
      </c>
      <c r="S42" s="62"/>
      <c r="T42" s="66"/>
      <c r="U42" s="77">
        <f t="shared" si="7"/>
        <v>0</v>
      </c>
      <c r="W42" s="89"/>
    </row>
    <row r="43" spans="1:23" ht="12.75">
      <c r="A43" s="2">
        <v>41</v>
      </c>
      <c r="B43" s="80" t="s">
        <v>99</v>
      </c>
      <c r="C43" s="61">
        <f>'2011年4月'!U43</f>
        <v>57.211000000000006</v>
      </c>
      <c r="D43" s="65">
        <v>1</v>
      </c>
      <c r="E43" s="74"/>
      <c r="F43" s="64">
        <f t="shared" si="2"/>
        <v>-6.6176</v>
      </c>
      <c r="G43" s="65"/>
      <c r="H43" s="74"/>
      <c r="I43" s="64">
        <f t="shared" si="3"/>
        <v>0</v>
      </c>
      <c r="J43" s="65">
        <v>1</v>
      </c>
      <c r="K43" s="74"/>
      <c r="L43" s="64">
        <f t="shared" si="4"/>
        <v>-6.8182</v>
      </c>
      <c r="M43" s="65">
        <v>1</v>
      </c>
      <c r="N43" s="74"/>
      <c r="O43" s="64">
        <f t="shared" si="6"/>
        <v>-6.4286</v>
      </c>
      <c r="P43" s="97">
        <v>1</v>
      </c>
      <c r="Q43" s="106"/>
      <c r="R43" s="64">
        <f t="shared" si="5"/>
        <v>-10.238</v>
      </c>
      <c r="S43" s="65"/>
      <c r="T43" s="66"/>
      <c r="U43" s="77">
        <f t="shared" si="7"/>
        <v>27.108600000000003</v>
      </c>
      <c r="W43" s="89"/>
    </row>
    <row r="44" spans="1:23" ht="12.75">
      <c r="A44" s="2">
        <v>42</v>
      </c>
      <c r="B44" s="80" t="s">
        <v>171</v>
      </c>
      <c r="C44" s="61">
        <f>'2011年4月'!U44</f>
        <v>29.298899999999996</v>
      </c>
      <c r="D44" s="65">
        <v>1</v>
      </c>
      <c r="E44" s="74"/>
      <c r="F44" s="64">
        <f t="shared" si="2"/>
        <v>-6.6176</v>
      </c>
      <c r="G44" s="65">
        <v>1</v>
      </c>
      <c r="H44" s="74"/>
      <c r="I44" s="64">
        <f t="shared" si="3"/>
        <v>-18.125</v>
      </c>
      <c r="J44" s="65">
        <v>1</v>
      </c>
      <c r="K44" s="74">
        <v>100</v>
      </c>
      <c r="L44" s="64">
        <f t="shared" si="4"/>
        <v>-6.8182</v>
      </c>
      <c r="M44" s="65">
        <v>1</v>
      </c>
      <c r="N44" s="74"/>
      <c r="O44" s="64">
        <f t="shared" si="6"/>
        <v>-6.4286</v>
      </c>
      <c r="P44" s="97">
        <v>1</v>
      </c>
      <c r="Q44" s="106"/>
      <c r="R44" s="64">
        <f t="shared" si="5"/>
        <v>-10.238</v>
      </c>
      <c r="S44" s="65"/>
      <c r="T44" s="66"/>
      <c r="U44" s="77">
        <f t="shared" si="7"/>
        <v>81.07149999999999</v>
      </c>
      <c r="W44" s="89"/>
    </row>
    <row r="45" spans="1:23" ht="12.75">
      <c r="A45" s="2">
        <v>43</v>
      </c>
      <c r="B45" s="81"/>
      <c r="C45" s="43">
        <f>'2011年4月'!U45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3"/>
        <v>0</v>
      </c>
      <c r="J45" s="48"/>
      <c r="K45" s="75"/>
      <c r="L45" s="46">
        <f t="shared" si="4"/>
        <v>0</v>
      </c>
      <c r="M45" s="48"/>
      <c r="N45" s="75"/>
      <c r="O45" s="46">
        <f t="shared" si="6"/>
        <v>0</v>
      </c>
      <c r="P45" s="98"/>
      <c r="Q45" s="107"/>
      <c r="R45" s="46">
        <f t="shared" si="5"/>
        <v>0</v>
      </c>
      <c r="S45" s="48"/>
      <c r="T45" s="47"/>
      <c r="U45" s="77">
        <f t="shared" si="7"/>
        <v>0</v>
      </c>
      <c r="W45" s="89"/>
    </row>
    <row r="46" spans="1:23" ht="12.75">
      <c r="A46" s="2">
        <v>44</v>
      </c>
      <c r="B46" s="84">
        <v>9631</v>
      </c>
      <c r="C46" s="43">
        <f>'2011年4月'!U46</f>
        <v>31.443999999999996</v>
      </c>
      <c r="D46" s="44">
        <v>1</v>
      </c>
      <c r="E46" s="75"/>
      <c r="F46" s="46">
        <f t="shared" si="2"/>
        <v>-6.6176</v>
      </c>
      <c r="G46" s="44"/>
      <c r="H46" s="75"/>
      <c r="I46" s="46">
        <f t="shared" si="3"/>
        <v>0</v>
      </c>
      <c r="J46" s="44">
        <v>1</v>
      </c>
      <c r="K46" s="75"/>
      <c r="L46" s="46">
        <f t="shared" si="4"/>
        <v>-6.8182</v>
      </c>
      <c r="M46" s="44">
        <v>1</v>
      </c>
      <c r="N46" s="75"/>
      <c r="O46" s="46">
        <f t="shared" si="6"/>
        <v>-6.4286</v>
      </c>
      <c r="P46" s="96"/>
      <c r="Q46" s="105"/>
      <c r="R46" s="46">
        <f t="shared" si="5"/>
        <v>0</v>
      </c>
      <c r="S46" s="44"/>
      <c r="T46" s="47"/>
      <c r="U46" s="77">
        <f t="shared" si="7"/>
        <v>11.579599999999996</v>
      </c>
      <c r="W46" s="89"/>
    </row>
    <row r="47" spans="1:23" ht="12.75">
      <c r="A47" s="2">
        <v>45</v>
      </c>
      <c r="B47" s="81" t="s">
        <v>124</v>
      </c>
      <c r="C47" s="43">
        <f>'2011年4月'!U47</f>
        <v>85.58549999999998</v>
      </c>
      <c r="D47" s="48">
        <v>1</v>
      </c>
      <c r="E47" s="75"/>
      <c r="F47" s="46">
        <f t="shared" si="2"/>
        <v>-6.6176</v>
      </c>
      <c r="G47" s="48">
        <v>1</v>
      </c>
      <c r="H47" s="75"/>
      <c r="I47" s="46">
        <f t="shared" si="3"/>
        <v>-18.125</v>
      </c>
      <c r="J47" s="48">
        <v>1</v>
      </c>
      <c r="K47" s="75"/>
      <c r="L47" s="46">
        <f t="shared" si="4"/>
        <v>-6.8182</v>
      </c>
      <c r="M47" s="48">
        <v>1</v>
      </c>
      <c r="N47" s="75"/>
      <c r="O47" s="46">
        <f t="shared" si="6"/>
        <v>-6.4286</v>
      </c>
      <c r="P47" s="98">
        <v>1</v>
      </c>
      <c r="Q47" s="107"/>
      <c r="R47" s="46">
        <f t="shared" si="5"/>
        <v>-10.238</v>
      </c>
      <c r="S47" s="48"/>
      <c r="T47" s="47"/>
      <c r="U47" s="77">
        <f t="shared" si="7"/>
        <v>37.358099999999986</v>
      </c>
      <c r="W47" s="89"/>
    </row>
    <row r="48" spans="1:23" ht="12.75">
      <c r="A48" s="2">
        <v>46</v>
      </c>
      <c r="B48" s="78"/>
      <c r="C48" s="49">
        <f>'2011年4月'!U48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3"/>
        <v>0</v>
      </c>
      <c r="J48" s="50"/>
      <c r="K48" s="51"/>
      <c r="L48" s="52">
        <f t="shared" si="4"/>
        <v>0</v>
      </c>
      <c r="M48" s="50"/>
      <c r="N48" s="51"/>
      <c r="O48" s="52">
        <f t="shared" si="6"/>
        <v>0</v>
      </c>
      <c r="P48" s="90"/>
      <c r="Q48" s="108"/>
      <c r="R48" s="52">
        <f t="shared" si="5"/>
        <v>0</v>
      </c>
      <c r="S48" s="50"/>
      <c r="T48" s="53"/>
      <c r="U48" s="77">
        <f t="shared" si="7"/>
        <v>0</v>
      </c>
      <c r="W48" s="89"/>
    </row>
    <row r="49" spans="1:23" ht="12.75">
      <c r="A49" s="2">
        <v>47</v>
      </c>
      <c r="B49" s="78" t="s">
        <v>101</v>
      </c>
      <c r="C49" s="49">
        <f>'2011年4月'!U49</f>
        <v>-36.2394</v>
      </c>
      <c r="D49" s="50">
        <v>1</v>
      </c>
      <c r="E49" s="51"/>
      <c r="F49" s="52">
        <f t="shared" si="2"/>
        <v>-6.6176</v>
      </c>
      <c r="G49" s="50"/>
      <c r="H49" s="51"/>
      <c r="I49" s="52">
        <f t="shared" si="3"/>
        <v>0</v>
      </c>
      <c r="J49" s="50">
        <v>1</v>
      </c>
      <c r="K49" s="51"/>
      <c r="L49" s="52">
        <f t="shared" si="4"/>
        <v>-6.8182</v>
      </c>
      <c r="M49" s="50">
        <v>1</v>
      </c>
      <c r="N49" s="51"/>
      <c r="O49" s="52">
        <f t="shared" si="6"/>
        <v>-6.4286</v>
      </c>
      <c r="P49" s="90"/>
      <c r="Q49" s="108"/>
      <c r="R49" s="52">
        <f t="shared" si="5"/>
        <v>0</v>
      </c>
      <c r="S49" s="54"/>
      <c r="T49" s="53"/>
      <c r="U49" s="77">
        <f t="shared" si="7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'2011年4月'!U50</f>
        <v>-36.3779</v>
      </c>
      <c r="D50" s="50">
        <v>1</v>
      </c>
      <c r="E50" s="51"/>
      <c r="F50" s="52">
        <f t="shared" si="2"/>
        <v>-6.6176</v>
      </c>
      <c r="G50" s="50"/>
      <c r="H50" s="51"/>
      <c r="I50" s="52">
        <f t="shared" si="3"/>
        <v>0</v>
      </c>
      <c r="J50" s="50">
        <v>1</v>
      </c>
      <c r="K50" s="51"/>
      <c r="L50" s="52">
        <f t="shared" si="4"/>
        <v>-6.8182</v>
      </c>
      <c r="M50" s="50">
        <v>1</v>
      </c>
      <c r="N50" s="51"/>
      <c r="O50" s="52">
        <f t="shared" si="6"/>
        <v>-6.4286</v>
      </c>
      <c r="P50" s="90"/>
      <c r="Q50" s="108"/>
      <c r="R50" s="52">
        <f t="shared" si="5"/>
        <v>0</v>
      </c>
      <c r="S50" s="50"/>
      <c r="T50" s="53"/>
      <c r="U50" s="77">
        <f t="shared" si="7"/>
        <v>-56.2423</v>
      </c>
      <c r="W50" s="89"/>
    </row>
    <row r="51" spans="1:23" ht="12.75">
      <c r="A51" s="2">
        <v>49</v>
      </c>
      <c r="B51" s="79"/>
      <c r="C51" s="55">
        <f>'2011年4月'!U51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3"/>
        <v>0</v>
      </c>
      <c r="J51" s="56"/>
      <c r="K51" s="73"/>
      <c r="L51" s="58">
        <f t="shared" si="4"/>
        <v>0</v>
      </c>
      <c r="M51" s="56"/>
      <c r="N51" s="73"/>
      <c r="O51" s="58">
        <f t="shared" si="6"/>
        <v>0</v>
      </c>
      <c r="P51" s="56"/>
      <c r="Q51" s="73"/>
      <c r="R51" s="58">
        <f t="shared" si="5"/>
        <v>0</v>
      </c>
      <c r="S51" s="60"/>
      <c r="T51" s="59"/>
      <c r="U51" s="77">
        <f t="shared" si="7"/>
        <v>0</v>
      </c>
      <c r="W51" s="89"/>
    </row>
    <row r="52" spans="1:23" ht="12.75">
      <c r="A52" s="2">
        <v>50</v>
      </c>
      <c r="B52" s="79" t="s">
        <v>104</v>
      </c>
      <c r="C52" s="55">
        <f>'2011年4月'!U52</f>
        <v>-40.754200000000004</v>
      </c>
      <c r="D52" s="60">
        <v>1</v>
      </c>
      <c r="E52" s="73"/>
      <c r="F52" s="58">
        <f t="shared" si="2"/>
        <v>-6.6176</v>
      </c>
      <c r="G52" s="60"/>
      <c r="H52" s="73"/>
      <c r="I52" s="58">
        <f t="shared" si="3"/>
        <v>0</v>
      </c>
      <c r="J52" s="60">
        <v>1</v>
      </c>
      <c r="K52" s="73"/>
      <c r="L52" s="58">
        <f t="shared" si="4"/>
        <v>-6.8182</v>
      </c>
      <c r="M52" s="60">
        <v>1</v>
      </c>
      <c r="N52" s="73"/>
      <c r="O52" s="58">
        <f t="shared" si="6"/>
        <v>-6.4286</v>
      </c>
      <c r="P52" s="60">
        <v>1</v>
      </c>
      <c r="Q52" s="73">
        <v>100</v>
      </c>
      <c r="R52" s="58">
        <f t="shared" si="5"/>
        <v>-10.238</v>
      </c>
      <c r="S52" s="56"/>
      <c r="T52" s="59"/>
      <c r="U52" s="77">
        <f t="shared" si="7"/>
        <v>29.143399999999993</v>
      </c>
      <c r="W52" s="89"/>
    </row>
    <row r="53" spans="1:23" ht="12.75">
      <c r="A53" s="2">
        <v>51</v>
      </c>
      <c r="B53" s="87"/>
      <c r="C53" s="55">
        <f>'2011年4月'!U53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3"/>
        <v>0</v>
      </c>
      <c r="J53" s="56"/>
      <c r="K53" s="73"/>
      <c r="L53" s="58">
        <f t="shared" si="4"/>
        <v>0</v>
      </c>
      <c r="M53" s="56"/>
      <c r="N53" s="73"/>
      <c r="O53" s="58">
        <f t="shared" si="6"/>
        <v>0</v>
      </c>
      <c r="P53" s="56"/>
      <c r="Q53" s="73"/>
      <c r="R53" s="58">
        <f t="shared" si="5"/>
        <v>0</v>
      </c>
      <c r="S53" s="56"/>
      <c r="T53" s="59"/>
      <c r="U53" s="77">
        <f t="shared" si="7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43</v>
      </c>
      <c r="D55" s="1">
        <f>SUM(D3:D53)</f>
        <v>34</v>
      </c>
      <c r="F55" s="1">
        <f>E66/D55</f>
        <v>6.617647058823529</v>
      </c>
      <c r="G55" s="1">
        <f>SUM(G3:G53)</f>
        <v>16</v>
      </c>
      <c r="I55" s="1">
        <f>H66/G55</f>
        <v>18.125</v>
      </c>
      <c r="J55" s="1">
        <f>SUM(J3:J53)</f>
        <v>33</v>
      </c>
      <c r="L55" s="1">
        <f>K66/J55</f>
        <v>6.818181818181818</v>
      </c>
      <c r="M55" s="1">
        <f>SUM(M3:M53)</f>
        <v>35</v>
      </c>
      <c r="O55" s="1">
        <f>N66/M55</f>
        <v>6.428571428571429</v>
      </c>
      <c r="P55" s="1">
        <f>SUM(P3:P53)</f>
        <v>21</v>
      </c>
      <c r="R55" s="1">
        <f>Q66/P55</f>
        <v>10.238095238095237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-224.99840000000012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-225.00059999999988</v>
      </c>
      <c r="N57" s="28" t="s">
        <v>175</v>
      </c>
      <c r="O57" s="1">
        <f>SUM(O3:O53)</f>
        <v>-225.00099999999986</v>
      </c>
      <c r="Q57" s="28" t="s">
        <v>175</v>
      </c>
      <c r="R57" s="1">
        <f>SUM(R3:R53)</f>
        <v>-224.998</v>
      </c>
      <c r="U57" s="19"/>
    </row>
    <row r="58" spans="2:21" ht="12.75">
      <c r="B58" s="29" t="s">
        <v>176</v>
      </c>
      <c r="C58" s="27">
        <f>SUM(C3:C53)</f>
        <v>1190.0003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1225.0022999999997</v>
      </c>
      <c r="W59" s="89">
        <f>U59</f>
        <v>1225.0022999999997</v>
      </c>
    </row>
    <row r="60" spans="4:20" ht="12.75" customHeight="1">
      <c r="D60" s="147" t="s">
        <v>177</v>
      </c>
      <c r="E60" s="148"/>
      <c r="F60" s="149"/>
      <c r="G60" s="147" t="s">
        <v>178</v>
      </c>
      <c r="H60" s="148"/>
      <c r="I60" s="149"/>
      <c r="J60" s="147" t="s">
        <v>179</v>
      </c>
      <c r="K60" s="148"/>
      <c r="L60" s="149"/>
      <c r="M60" s="147" t="s">
        <v>180</v>
      </c>
      <c r="N60" s="148"/>
      <c r="O60" s="149"/>
      <c r="P60" s="147" t="s">
        <v>185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225</v>
      </c>
      <c r="F66" s="37"/>
      <c r="G66" s="38" t="s">
        <v>110</v>
      </c>
      <c r="H66" s="36">
        <f>H68-H84-H93</f>
        <v>290</v>
      </c>
      <c r="I66" s="37"/>
      <c r="J66" s="38" t="s">
        <v>110</v>
      </c>
      <c r="K66" s="36">
        <f>K68-K84-K93</f>
        <v>225</v>
      </c>
      <c r="L66" s="37"/>
      <c r="M66" s="38" t="s">
        <v>110</v>
      </c>
      <c r="N66" s="36">
        <f>N68-N84-N93</f>
        <v>225</v>
      </c>
      <c r="O66" s="37"/>
      <c r="P66" s="38" t="s">
        <v>110</v>
      </c>
      <c r="Q66" s="36">
        <f>Q68-Q84-Q93</f>
        <v>215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225</v>
      </c>
      <c r="O68" s="40"/>
      <c r="P68" s="85" t="s">
        <v>111</v>
      </c>
      <c r="Q68" s="39">
        <v>225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 t="s">
        <v>166</v>
      </c>
      <c r="H82" s="1">
        <v>10</v>
      </c>
      <c r="J82" s="28"/>
      <c r="M82" s="28"/>
      <c r="N82" s="28"/>
      <c r="P82" s="28" t="s">
        <v>186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>
        <f>SUM(H82:H83)</f>
        <v>10</v>
      </c>
      <c r="K84" s="28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 t="s">
        <v>181</v>
      </c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K31" sqref="K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40706</v>
      </c>
      <c r="E1" s="155"/>
      <c r="F1" s="156"/>
      <c r="G1" s="16"/>
      <c r="H1" s="24">
        <v>40713</v>
      </c>
      <c r="I1" s="17"/>
      <c r="J1" s="30"/>
      <c r="K1" s="24">
        <v>40720</v>
      </c>
      <c r="L1" s="31"/>
      <c r="M1" s="16"/>
      <c r="N1" s="24">
        <v>40727</v>
      </c>
      <c r="O1" s="17"/>
      <c r="P1" s="16"/>
      <c r="Q1" s="24">
        <v>40734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'2011年5月'!U3</f>
        <v>22.7138</v>
      </c>
      <c r="D3" s="50">
        <v>1</v>
      </c>
      <c r="E3" s="51"/>
      <c r="F3" s="52">
        <f>-12.647*D3</f>
        <v>-12.647</v>
      </c>
      <c r="G3" s="50">
        <v>1</v>
      </c>
      <c r="H3" s="51"/>
      <c r="I3" s="52">
        <f>-12.5*G3</f>
        <v>-12.5</v>
      </c>
      <c r="J3" s="50">
        <v>1</v>
      </c>
      <c r="K3" s="51">
        <v>50</v>
      </c>
      <c r="L3" s="52">
        <f>-10.75*J3</f>
        <v>-10.75</v>
      </c>
      <c r="M3" s="50"/>
      <c r="N3" s="51"/>
      <c r="O3" s="52">
        <f>-16.6667*M3</f>
        <v>0</v>
      </c>
      <c r="P3" s="90">
        <v>1</v>
      </c>
      <c r="Q3" s="99"/>
      <c r="R3" s="52">
        <f>-18.75*P3</f>
        <v>-18.75</v>
      </c>
      <c r="S3" s="50"/>
      <c r="T3" s="53"/>
      <c r="U3" s="77">
        <f aca="true" t="shared" si="0" ref="U3:U34">C3+E3+F3+H3+I3+K3+L3+N3+O3+T3+Q3+R3</f>
        <v>18.0668</v>
      </c>
      <c r="W3" s="89"/>
    </row>
    <row r="4" spans="1:23" ht="12.75">
      <c r="A4" s="2">
        <v>2</v>
      </c>
      <c r="B4" s="76" t="s">
        <v>3</v>
      </c>
      <c r="C4" s="49">
        <f>'2011年5月'!U4</f>
        <v>26.066899999999997</v>
      </c>
      <c r="D4" s="50"/>
      <c r="E4" s="51"/>
      <c r="F4" s="52">
        <f aca="true" t="shared" si="1" ref="F4:F53">-12.647*D4</f>
        <v>0</v>
      </c>
      <c r="G4" s="50"/>
      <c r="H4" s="51"/>
      <c r="I4" s="52">
        <f aca="true" t="shared" si="2" ref="I4:I53">-12.5*G4</f>
        <v>0</v>
      </c>
      <c r="J4" s="50">
        <v>1</v>
      </c>
      <c r="K4" s="51"/>
      <c r="L4" s="52">
        <f aca="true" t="shared" si="3" ref="L4:L53">-10.75*J4</f>
        <v>-10.75</v>
      </c>
      <c r="M4" s="50">
        <v>1</v>
      </c>
      <c r="N4" s="51"/>
      <c r="O4" s="52">
        <f aca="true" t="shared" si="4" ref="O4:O53">-16.6667*M4</f>
        <v>-16.6667</v>
      </c>
      <c r="P4" s="90">
        <v>1</v>
      </c>
      <c r="Q4" s="99"/>
      <c r="R4" s="52">
        <f aca="true" t="shared" si="5" ref="R4:R53">-18.75*P4</f>
        <v>-18.75</v>
      </c>
      <c r="S4" s="54"/>
      <c r="T4" s="53"/>
      <c r="U4" s="77">
        <f t="shared" si="0"/>
        <v>-20.099800000000002</v>
      </c>
      <c r="W4" s="89"/>
    </row>
    <row r="5" spans="1:23" ht="12.75">
      <c r="A5" s="2">
        <v>3</v>
      </c>
      <c r="B5" s="78" t="s">
        <v>182</v>
      </c>
      <c r="C5" s="49">
        <f>'2011年5月'!U5</f>
        <v>73.3334</v>
      </c>
      <c r="D5" s="50">
        <v>1</v>
      </c>
      <c r="E5" s="51"/>
      <c r="F5" s="52">
        <f t="shared" si="1"/>
        <v>-12.647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'2011年5月'!U6</f>
        <v>5.0095999999999945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-10.75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'2011年5月'!U7</f>
        <v>-23.4088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'2011年5月'!U8</f>
        <v>83.3334</v>
      </c>
      <c r="D8" s="56">
        <v>1</v>
      </c>
      <c r="E8" s="57"/>
      <c r="F8" s="58">
        <f t="shared" si="1"/>
        <v>-12.647</v>
      </c>
      <c r="G8" s="56">
        <v>1</v>
      </c>
      <c r="H8" s="57"/>
      <c r="I8" s="58">
        <f t="shared" si="2"/>
        <v>-12.5</v>
      </c>
      <c r="J8" s="56">
        <v>1</v>
      </c>
      <c r="K8" s="57"/>
      <c r="L8" s="58">
        <f t="shared" si="3"/>
        <v>-10.75</v>
      </c>
      <c r="M8" s="56">
        <v>1</v>
      </c>
      <c r="N8" s="57"/>
      <c r="O8" s="58">
        <f t="shared" si="4"/>
        <v>-16.6667</v>
      </c>
      <c r="P8" s="92">
        <v>1</v>
      </c>
      <c r="Q8" s="101"/>
      <c r="R8" s="58">
        <f t="shared" si="5"/>
        <v>-18.75</v>
      </c>
      <c r="S8" s="60"/>
      <c r="T8" s="59"/>
      <c r="U8" s="77">
        <f t="shared" si="0"/>
        <v>12.019699999999993</v>
      </c>
      <c r="W8" s="89"/>
    </row>
    <row r="9" spans="1:23" ht="12.75">
      <c r="A9" s="2">
        <v>7</v>
      </c>
      <c r="B9" s="82" t="s">
        <v>71</v>
      </c>
      <c r="C9" s="67">
        <f>'2011年5月'!U9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166</v>
      </c>
      <c r="C10" s="67">
        <f>'2011年5月'!U10</f>
        <v>114.31069999999998</v>
      </c>
      <c r="D10" s="72">
        <v>1</v>
      </c>
      <c r="E10" s="69"/>
      <c r="F10" s="70">
        <f t="shared" si="1"/>
        <v>-12.647</v>
      </c>
      <c r="G10" s="72">
        <v>1</v>
      </c>
      <c r="H10" s="69"/>
      <c r="I10" s="70">
        <f t="shared" si="2"/>
        <v>-12.5</v>
      </c>
      <c r="J10" s="72">
        <v>1</v>
      </c>
      <c r="K10" s="69"/>
      <c r="L10" s="70">
        <f t="shared" si="3"/>
        <v>-10.75</v>
      </c>
      <c r="M10" s="72">
        <v>1</v>
      </c>
      <c r="N10" s="69"/>
      <c r="O10" s="70">
        <f t="shared" si="4"/>
        <v>-16.6667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42.99699999999998</v>
      </c>
      <c r="W10" s="89"/>
    </row>
    <row r="11" spans="1:23" ht="12.75">
      <c r="A11" s="2">
        <v>9</v>
      </c>
      <c r="B11" s="82" t="s">
        <v>130</v>
      </c>
      <c r="C11" s="67">
        <f>'2011年5月'!U11</f>
        <v>-8.572400000000005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'2011年5月'!U12</f>
        <v>13.827799999999968</v>
      </c>
      <c r="D12" s="62">
        <v>1</v>
      </c>
      <c r="E12" s="63">
        <v>100</v>
      </c>
      <c r="F12" s="64">
        <f t="shared" si="1"/>
        <v>-12.647</v>
      </c>
      <c r="G12" s="62">
        <v>1</v>
      </c>
      <c r="H12" s="63"/>
      <c r="I12" s="64">
        <f t="shared" si="2"/>
        <v>-12.5</v>
      </c>
      <c r="J12" s="62">
        <v>1</v>
      </c>
      <c r="K12" s="63"/>
      <c r="L12" s="64">
        <f t="shared" si="3"/>
        <v>-10.75</v>
      </c>
      <c r="M12" s="62">
        <v>1</v>
      </c>
      <c r="N12" s="63"/>
      <c r="O12" s="64">
        <f t="shared" si="4"/>
        <v>-16.6667</v>
      </c>
      <c r="P12" s="95"/>
      <c r="Q12" s="104"/>
      <c r="R12" s="64">
        <f t="shared" si="5"/>
        <v>0</v>
      </c>
      <c r="S12" s="62"/>
      <c r="T12" s="66"/>
      <c r="U12" s="77">
        <f t="shared" si="0"/>
        <v>61.264099999999964</v>
      </c>
      <c r="W12" s="89"/>
    </row>
    <row r="13" spans="1:23" ht="12.75">
      <c r="A13" s="2">
        <v>11</v>
      </c>
      <c r="B13" s="80" t="s">
        <v>75</v>
      </c>
      <c r="C13" s="61">
        <f>'2011年5月'!U13</f>
        <v>2.8205999999999944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'2011年5月'!U14</f>
        <v>73.428</v>
      </c>
      <c r="D14" s="62">
        <v>1</v>
      </c>
      <c r="E14" s="63"/>
      <c r="F14" s="64">
        <f t="shared" si="1"/>
        <v>-12.647</v>
      </c>
      <c r="G14" s="62">
        <v>1</v>
      </c>
      <c r="H14" s="63"/>
      <c r="I14" s="64">
        <f t="shared" si="2"/>
        <v>-12.5</v>
      </c>
      <c r="J14" s="62">
        <v>1</v>
      </c>
      <c r="K14" s="63"/>
      <c r="L14" s="64">
        <f t="shared" si="3"/>
        <v>-10.75</v>
      </c>
      <c r="M14" s="62">
        <v>1</v>
      </c>
      <c r="N14" s="63"/>
      <c r="O14" s="64">
        <f t="shared" si="4"/>
        <v>-16.6667</v>
      </c>
      <c r="P14" s="95"/>
      <c r="Q14" s="104"/>
      <c r="R14" s="64">
        <f t="shared" si="5"/>
        <v>0</v>
      </c>
      <c r="S14" s="62"/>
      <c r="T14" s="66"/>
      <c r="U14" s="77">
        <f t="shared" si="0"/>
        <v>20.8643</v>
      </c>
      <c r="W14" s="89"/>
    </row>
    <row r="15" spans="1:23" ht="12.75">
      <c r="A15" s="2">
        <v>13</v>
      </c>
      <c r="B15" s="81" t="s">
        <v>77</v>
      </c>
      <c r="C15" s="43">
        <f>'2011年5月'!U15</f>
        <v>35.531099999999995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'2011年5月'!U16</f>
        <v>-28.225100000000015</v>
      </c>
      <c r="D16" s="44">
        <v>1</v>
      </c>
      <c r="E16" s="45">
        <v>100</v>
      </c>
      <c r="F16" s="46">
        <f t="shared" si="1"/>
        <v>-12.647</v>
      </c>
      <c r="G16" s="44">
        <v>1</v>
      </c>
      <c r="H16" s="45"/>
      <c r="I16" s="46">
        <f t="shared" si="2"/>
        <v>-12.5</v>
      </c>
      <c r="J16" s="44">
        <v>1</v>
      </c>
      <c r="K16" s="45"/>
      <c r="L16" s="46">
        <f>-10.75*J16-5</f>
        <v>-15.75</v>
      </c>
      <c r="M16" s="44">
        <v>1</v>
      </c>
      <c r="N16" s="45"/>
      <c r="O16" s="46">
        <f t="shared" si="4"/>
        <v>-16.6667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-4.538800000000009</v>
      </c>
      <c r="W16" s="89"/>
    </row>
    <row r="17" spans="1:23" ht="12.75">
      <c r="A17" s="2">
        <v>15</v>
      </c>
      <c r="B17" s="81" t="s">
        <v>184</v>
      </c>
      <c r="C17" s="43">
        <f>'2011年5月'!U17</f>
        <v>89.762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-12.5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-16.6667</v>
      </c>
      <c r="P17" s="96"/>
      <c r="Q17" s="105"/>
      <c r="R17" s="46">
        <f t="shared" si="5"/>
        <v>0</v>
      </c>
      <c r="S17" s="48"/>
      <c r="T17" s="47"/>
      <c r="U17" s="77">
        <f t="shared" si="0"/>
        <v>60.5953</v>
      </c>
      <c r="W17" s="89"/>
    </row>
    <row r="18" spans="1:23" ht="12.75">
      <c r="A18" s="2">
        <v>16</v>
      </c>
      <c r="B18" s="78" t="s">
        <v>79</v>
      </c>
      <c r="C18" s="49">
        <f>'2011年5月'!U18</f>
        <v>63.16209999999998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'2011年5月'!U19</f>
        <v>10.523199999999981</v>
      </c>
      <c r="D19" s="50">
        <v>1</v>
      </c>
      <c r="E19" s="51"/>
      <c r="F19" s="52">
        <f t="shared" si="1"/>
        <v>-12.647</v>
      </c>
      <c r="G19" s="50">
        <v>1</v>
      </c>
      <c r="H19" s="51">
        <v>100</v>
      </c>
      <c r="I19" s="52">
        <f t="shared" si="2"/>
        <v>-12.5</v>
      </c>
      <c r="J19" s="50">
        <v>1</v>
      </c>
      <c r="K19" s="51"/>
      <c r="L19" s="52">
        <f t="shared" si="3"/>
        <v>-10.75</v>
      </c>
      <c r="M19" s="50">
        <v>1</v>
      </c>
      <c r="N19" s="51"/>
      <c r="O19" s="52">
        <f t="shared" si="4"/>
        <v>-16.6667</v>
      </c>
      <c r="P19" s="90">
        <v>1</v>
      </c>
      <c r="Q19" s="99"/>
      <c r="R19" s="52">
        <f t="shared" si="5"/>
        <v>-18.75</v>
      </c>
      <c r="S19" s="54"/>
      <c r="T19" s="53"/>
      <c r="U19" s="77">
        <f t="shared" si="0"/>
        <v>39.209499999999984</v>
      </c>
      <c r="W19" s="89"/>
    </row>
    <row r="20" spans="1:23" ht="12.75">
      <c r="A20" s="2">
        <v>18</v>
      </c>
      <c r="B20" s="78" t="s">
        <v>134</v>
      </c>
      <c r="C20" s="49">
        <f>'2011年5月'!U20</f>
        <v>26.722200000000004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'2011年5月'!U21</f>
        <v>48.56079999999998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>
        <v>1</v>
      </c>
      <c r="Q21" s="101"/>
      <c r="R21" s="58">
        <f t="shared" si="5"/>
        <v>-18.75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196</v>
      </c>
      <c r="C22" s="55">
        <f>'2011年5月'!U22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-16.6667</v>
      </c>
      <c r="P22" s="92">
        <v>1</v>
      </c>
      <c r="Q22" s="101">
        <v>100</v>
      </c>
      <c r="R22" s="58">
        <f t="shared" si="5"/>
        <v>-18.75</v>
      </c>
      <c r="S22" s="56"/>
      <c r="T22" s="59"/>
      <c r="U22" s="77">
        <f t="shared" si="0"/>
        <v>64.58330000000001</v>
      </c>
      <c r="W22" s="89"/>
    </row>
    <row r="23" spans="1:23" ht="12.75">
      <c r="A23" s="2">
        <v>21</v>
      </c>
      <c r="B23" s="79" t="s">
        <v>128</v>
      </c>
      <c r="C23" s="55">
        <f>'2011年5月'!U23</f>
        <v>96.35669999999999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-10.75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'2011年5月'!U24</f>
        <v>98.52849999999998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-12.5</v>
      </c>
      <c r="J24" s="68">
        <v>1</v>
      </c>
      <c r="K24" s="69"/>
      <c r="L24" s="70">
        <f t="shared" si="3"/>
        <v>-10.75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'2011年5月'!U25</f>
        <v>-26.625999999999994</v>
      </c>
      <c r="D25" s="68">
        <v>1</v>
      </c>
      <c r="E25" s="69"/>
      <c r="F25" s="70">
        <f t="shared" si="1"/>
        <v>-12.647</v>
      </c>
      <c r="G25" s="68">
        <v>1</v>
      </c>
      <c r="H25" s="69">
        <v>200</v>
      </c>
      <c r="I25" s="70">
        <f t="shared" si="2"/>
        <v>-12.5</v>
      </c>
      <c r="J25" s="68">
        <v>1</v>
      </c>
      <c r="K25" s="69"/>
      <c r="L25" s="70">
        <f t="shared" si="3"/>
        <v>-10.75</v>
      </c>
      <c r="M25" s="68">
        <v>1</v>
      </c>
      <c r="N25" s="69"/>
      <c r="O25" s="70">
        <f t="shared" si="4"/>
        <v>-16.6667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102.06030000000001</v>
      </c>
      <c r="W25" s="89"/>
    </row>
    <row r="26" spans="1:23" ht="12.75">
      <c r="A26" s="2">
        <v>24</v>
      </c>
      <c r="B26" s="82" t="s">
        <v>86</v>
      </c>
      <c r="C26" s="67">
        <f>'2011年5月'!U26</f>
        <v>90.53949999999999</v>
      </c>
      <c r="D26" s="68">
        <v>1</v>
      </c>
      <c r="E26" s="69"/>
      <c r="F26" s="70">
        <f t="shared" si="1"/>
        <v>-12.647</v>
      </c>
      <c r="G26" s="68">
        <v>1</v>
      </c>
      <c r="H26" s="69"/>
      <c r="I26" s="70">
        <f t="shared" si="2"/>
        <v>-12.5</v>
      </c>
      <c r="J26" s="68">
        <v>1</v>
      </c>
      <c r="K26" s="69"/>
      <c r="L26" s="70">
        <f t="shared" si="3"/>
        <v>-10.75</v>
      </c>
      <c r="M26" s="68">
        <v>1</v>
      </c>
      <c r="N26" s="69"/>
      <c r="O26" s="70">
        <f t="shared" si="4"/>
        <v>-16.6667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19.225799999999985</v>
      </c>
      <c r="W26" s="89"/>
    </row>
    <row r="27" spans="1:23" ht="12.75">
      <c r="A27" s="2">
        <v>25</v>
      </c>
      <c r="B27" s="80" t="s">
        <v>137</v>
      </c>
      <c r="C27" s="61">
        <f>'2011年5月'!U27</f>
        <v>-67.67439999999999</v>
      </c>
      <c r="D27" s="62">
        <v>1</v>
      </c>
      <c r="E27" s="74">
        <v>100</v>
      </c>
      <c r="F27" s="64">
        <f>-12.647*D27-10</f>
        <v>-22.647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'2011年5月'!U28</f>
        <v>-50.7356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'2011年5月'!U29</f>
        <v>-1.7763568394002505E-15</v>
      </c>
      <c r="D29" s="112"/>
      <c r="E29" s="111"/>
      <c r="F29" s="64">
        <f t="shared" si="1"/>
        <v>0</v>
      </c>
      <c r="G29" s="112"/>
      <c r="H29" s="111"/>
      <c r="I29" s="64">
        <f t="shared" si="2"/>
        <v>0</v>
      </c>
      <c r="J29" s="112"/>
      <c r="K29" s="111"/>
      <c r="L29" s="64">
        <f t="shared" si="3"/>
        <v>0</v>
      </c>
      <c r="M29" s="112"/>
      <c r="N29" s="111"/>
      <c r="O29" s="64">
        <f t="shared" si="4"/>
        <v>0</v>
      </c>
      <c r="P29" s="113"/>
      <c r="Q29" s="114"/>
      <c r="R29" s="64">
        <f t="shared" si="5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'2011年5月'!U30</f>
        <v>-15.323200000000003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'2011年5月'!U31</f>
        <v>-16.688299999999998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'2011年5月'!U32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'2011年5月'!U33</f>
        <v>48.26129999999998</v>
      </c>
      <c r="D33" s="50">
        <v>1</v>
      </c>
      <c r="E33" s="51"/>
      <c r="F33" s="52">
        <f t="shared" si="1"/>
        <v>-12.647</v>
      </c>
      <c r="G33" s="50">
        <v>1</v>
      </c>
      <c r="H33" s="51"/>
      <c r="I33" s="52">
        <f t="shared" si="2"/>
        <v>-12.5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-12.30240000000002</v>
      </c>
      <c r="W33" s="89"/>
    </row>
    <row r="34" spans="1:23" ht="12.75">
      <c r="A34" s="2">
        <v>32</v>
      </c>
      <c r="B34" s="78" t="s">
        <v>170</v>
      </c>
      <c r="C34" s="49">
        <f>'2011年5月'!U34</f>
        <v>6.839599999999961</v>
      </c>
      <c r="D34" s="50">
        <v>1</v>
      </c>
      <c r="E34" s="51">
        <v>100</v>
      </c>
      <c r="F34" s="52">
        <f t="shared" si="1"/>
        <v>-12.647</v>
      </c>
      <c r="G34" s="88">
        <v>1</v>
      </c>
      <c r="H34" s="51"/>
      <c r="I34" s="52">
        <f t="shared" si="2"/>
        <v>-12.5</v>
      </c>
      <c r="J34" s="88">
        <v>1</v>
      </c>
      <c r="K34" s="51"/>
      <c r="L34" s="52">
        <f t="shared" si="3"/>
        <v>-10.75</v>
      </c>
      <c r="M34" s="50">
        <v>1</v>
      </c>
      <c r="N34" s="51"/>
      <c r="O34" s="52">
        <f t="shared" si="4"/>
        <v>-16.6667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35.52589999999996</v>
      </c>
      <c r="W34" s="89"/>
    </row>
    <row r="35" spans="1:23" ht="12.75">
      <c r="A35" s="2">
        <v>33</v>
      </c>
      <c r="B35" s="78" t="s">
        <v>94</v>
      </c>
      <c r="C35" s="49">
        <f>'2011年5月'!U35</f>
        <v>16.922899999999974</v>
      </c>
      <c r="D35" s="50">
        <v>1</v>
      </c>
      <c r="E35" s="51"/>
      <c r="F35" s="52">
        <f t="shared" si="1"/>
        <v>-12.647</v>
      </c>
      <c r="G35" s="50">
        <v>1</v>
      </c>
      <c r="H35" s="51">
        <v>100</v>
      </c>
      <c r="I35" s="52">
        <f t="shared" si="2"/>
        <v>-12.5</v>
      </c>
      <c r="J35" s="50">
        <v>1</v>
      </c>
      <c r="K35" s="51"/>
      <c r="L35" s="52">
        <f t="shared" si="3"/>
        <v>-10.75</v>
      </c>
      <c r="M35" s="50">
        <v>1</v>
      </c>
      <c r="N35" s="51"/>
      <c r="O35" s="52">
        <f t="shared" si="4"/>
        <v>-16.6667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45.60919999999999</v>
      </c>
      <c r="W35" s="89"/>
    </row>
    <row r="36" spans="1:23" ht="12.75">
      <c r="A36" s="2">
        <v>34</v>
      </c>
      <c r="B36" s="79"/>
      <c r="C36" s="55">
        <f>'2011年5月'!U36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'2011年5月'!U37</f>
        <v>99.51009999999997</v>
      </c>
      <c r="D37" s="56">
        <v>1</v>
      </c>
      <c r="E37" s="57"/>
      <c r="F37" s="58">
        <f t="shared" si="1"/>
        <v>-12.647</v>
      </c>
      <c r="G37" s="56"/>
      <c r="H37" s="57"/>
      <c r="I37" s="58">
        <f t="shared" si="2"/>
        <v>0</v>
      </c>
      <c r="J37" s="56">
        <v>1</v>
      </c>
      <c r="K37" s="57">
        <v>200</v>
      </c>
      <c r="L37" s="58">
        <f t="shared" si="3"/>
        <v>-10.75</v>
      </c>
      <c r="M37" s="56">
        <v>1</v>
      </c>
      <c r="N37" s="57"/>
      <c r="O37" s="58">
        <f t="shared" si="4"/>
        <v>-16.6667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240.69639999999998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'2011年5月'!U38</f>
        <v>161.1514</v>
      </c>
      <c r="D38" s="56"/>
      <c r="E38" s="57"/>
      <c r="F38" s="58">
        <f t="shared" si="1"/>
        <v>0</v>
      </c>
      <c r="G38" s="56">
        <v>1</v>
      </c>
      <c r="H38" s="57"/>
      <c r="I38" s="58">
        <f t="shared" si="2"/>
        <v>-12.5</v>
      </c>
      <c r="J38" s="56">
        <v>1</v>
      </c>
      <c r="K38" s="57"/>
      <c r="L38" s="58">
        <f t="shared" si="3"/>
        <v>-10.75</v>
      </c>
      <c r="M38" s="56">
        <v>1</v>
      </c>
      <c r="N38" s="57"/>
      <c r="O38" s="58">
        <f t="shared" si="4"/>
        <v>-16.6667</v>
      </c>
      <c r="P38" s="92"/>
      <c r="Q38" s="101"/>
      <c r="R38" s="58">
        <f t="shared" si="5"/>
        <v>0</v>
      </c>
      <c r="S38" s="60"/>
      <c r="T38" s="59"/>
      <c r="U38" s="77">
        <f t="shared" si="6"/>
        <v>121.2347</v>
      </c>
      <c r="W38" s="89"/>
    </row>
    <row r="39" spans="1:23" ht="12.75">
      <c r="A39" s="2">
        <v>37</v>
      </c>
      <c r="B39" s="82" t="s">
        <v>144</v>
      </c>
      <c r="C39" s="67">
        <f>'2011年5月'!U39</f>
        <v>-1.7763568394002505E-15</v>
      </c>
      <c r="D39" s="112"/>
      <c r="E39" s="111"/>
      <c r="F39" s="70">
        <f t="shared" si="1"/>
        <v>0</v>
      </c>
      <c r="G39" s="112"/>
      <c r="H39" s="111"/>
      <c r="I39" s="70">
        <f t="shared" si="2"/>
        <v>0</v>
      </c>
      <c r="J39" s="112"/>
      <c r="K39" s="111"/>
      <c r="L39" s="70">
        <f t="shared" si="3"/>
        <v>0</v>
      </c>
      <c r="M39" s="112"/>
      <c r="N39" s="111"/>
      <c r="O39" s="70">
        <f t="shared" si="4"/>
        <v>0</v>
      </c>
      <c r="P39" s="113"/>
      <c r="Q39" s="114"/>
      <c r="R39" s="70">
        <f t="shared" si="5"/>
        <v>0</v>
      </c>
      <c r="S39" s="112"/>
      <c r="T39" s="115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'2011年5月'!U40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'2011年5月'!U42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'2011年5月'!U43</f>
        <v>27.108600000000003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-12.5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-16.6667</v>
      </c>
      <c r="P43" s="97"/>
      <c r="Q43" s="106"/>
      <c r="R43" s="64">
        <f t="shared" si="5"/>
        <v>0</v>
      </c>
      <c r="S43" s="65"/>
      <c r="T43" s="66"/>
      <c r="U43" s="77">
        <f t="shared" si="6"/>
        <v>-2.058099999999996</v>
      </c>
      <c r="W43" s="89"/>
    </row>
    <row r="44" spans="1:23" ht="12.75">
      <c r="A44" s="2">
        <v>42</v>
      </c>
      <c r="B44" s="80" t="s">
        <v>171</v>
      </c>
      <c r="C44" s="61">
        <f>'2011年5月'!U44</f>
        <v>81.07149999999999</v>
      </c>
      <c r="D44" s="65">
        <v>1</v>
      </c>
      <c r="E44" s="74"/>
      <c r="F44" s="64">
        <f t="shared" si="1"/>
        <v>-12.647</v>
      </c>
      <c r="G44" s="65">
        <v>1</v>
      </c>
      <c r="H44" s="74"/>
      <c r="I44" s="64">
        <f t="shared" si="2"/>
        <v>-12.5</v>
      </c>
      <c r="J44" s="65">
        <v>1</v>
      </c>
      <c r="K44" s="74"/>
      <c r="L44" s="64">
        <f t="shared" si="3"/>
        <v>-10.75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26.42449999999998</v>
      </c>
      <c r="W44" s="89"/>
    </row>
    <row r="45" spans="1:23" ht="12.75">
      <c r="A45" s="2">
        <v>43</v>
      </c>
      <c r="B45" s="81"/>
      <c r="C45" s="43">
        <f>'2011年5月'!U45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'2011年5月'!U46</f>
        <v>11.579599999999996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>-10.75*J46-5</f>
        <v>-15.75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'2011年5月'!U47</f>
        <v>37.358099999999986</v>
      </c>
      <c r="D47" s="48"/>
      <c r="E47" s="75"/>
      <c r="F47" s="46">
        <f t="shared" si="1"/>
        <v>0</v>
      </c>
      <c r="G47" s="48">
        <v>1</v>
      </c>
      <c r="H47" s="75"/>
      <c r="I47" s="46">
        <f t="shared" si="2"/>
        <v>-12.5</v>
      </c>
      <c r="J47" s="48">
        <v>1</v>
      </c>
      <c r="K47" s="75"/>
      <c r="L47" s="46">
        <f t="shared" si="3"/>
        <v>-10.75</v>
      </c>
      <c r="M47" s="48">
        <v>1</v>
      </c>
      <c r="N47" s="75">
        <v>100</v>
      </c>
      <c r="O47" s="46">
        <f t="shared" si="4"/>
        <v>-16.6667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78.69139999999999</v>
      </c>
      <c r="W47" s="89"/>
    </row>
    <row r="48" spans="1:23" ht="12.75">
      <c r="A48" s="2">
        <v>46</v>
      </c>
      <c r="B48" s="78"/>
      <c r="C48" s="49">
        <f>'2011年5月'!U48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101</v>
      </c>
      <c r="C49" s="49">
        <f>'2011年5月'!U49</f>
        <v>-56.10380000000001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'2011年5月'!U50</f>
        <v>-56.2423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-56.2423</v>
      </c>
      <c r="W50" s="89"/>
    </row>
    <row r="51" spans="1:23" ht="12.75">
      <c r="A51" s="2">
        <v>49</v>
      </c>
      <c r="B51" s="79"/>
      <c r="C51" s="55">
        <f>'2011年5月'!U51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'2011年5月'!U52</f>
        <v>29.143399999999993</v>
      </c>
      <c r="D52" s="60">
        <v>1</v>
      </c>
      <c r="E52" s="73"/>
      <c r="F52" s="58">
        <f t="shared" si="1"/>
        <v>-12.647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16.496399999999994</v>
      </c>
      <c r="W52" s="89"/>
    </row>
    <row r="53" spans="1:23" ht="12.75">
      <c r="A53" s="2">
        <v>51</v>
      </c>
      <c r="B53" s="87"/>
      <c r="C53" s="55">
        <f>'2011年5月'!U53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17</v>
      </c>
      <c r="F55" s="1">
        <f>E66/D55</f>
        <v>12.647058823529411</v>
      </c>
      <c r="G55" s="1">
        <f>SUM(G3:G53)</f>
        <v>18</v>
      </c>
      <c r="I55" s="1">
        <f>H66/G55</f>
        <v>12.5</v>
      </c>
      <c r="J55" s="1">
        <f>SUM(J3:J53)</f>
        <v>20</v>
      </c>
      <c r="L55" s="1">
        <f>K66/J55</f>
        <v>10.75</v>
      </c>
      <c r="M55" s="1">
        <f>SUM(M3:M53)</f>
        <v>18</v>
      </c>
      <c r="O55" s="1">
        <f>N66/M55</f>
        <v>16.666666666666668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-224.99899999999997</v>
      </c>
      <c r="H57" s="28" t="s">
        <v>175</v>
      </c>
      <c r="I57" s="1">
        <f>SUM(I3:I53)</f>
        <v>-225</v>
      </c>
      <c r="K57" s="28" t="s">
        <v>175</v>
      </c>
      <c r="L57" s="1">
        <f>SUM(L3:L53)</f>
        <v>-225</v>
      </c>
      <c r="N57" s="28" t="s">
        <v>175</v>
      </c>
      <c r="O57" s="1">
        <f>SUM(O3:O53)</f>
        <v>-300.0005999999999</v>
      </c>
      <c r="Q57" s="28" t="s">
        <v>175</v>
      </c>
      <c r="R57" s="1">
        <f>SUM(R3:R53)</f>
        <v>-300</v>
      </c>
      <c r="U57" s="19"/>
    </row>
    <row r="58" spans="2:21" ht="12.75">
      <c r="B58" s="29" t="s">
        <v>176</v>
      </c>
      <c r="C58" s="27">
        <f>SUM(C3:C53)</f>
        <v>1225.0022999999997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1300.0026999999995</v>
      </c>
      <c r="W59" s="89">
        <f>U59</f>
        <v>1300.0026999999995</v>
      </c>
    </row>
    <row r="60" spans="4:20" ht="12.75" customHeight="1">
      <c r="D60" s="147" t="s">
        <v>188</v>
      </c>
      <c r="E60" s="148"/>
      <c r="F60" s="149"/>
      <c r="G60" s="147" t="s">
        <v>189</v>
      </c>
      <c r="H60" s="148"/>
      <c r="I60" s="149"/>
      <c r="J60" s="147" t="s">
        <v>190</v>
      </c>
      <c r="K60" s="148"/>
      <c r="L60" s="149"/>
      <c r="M60" s="147" t="s">
        <v>194</v>
      </c>
      <c r="N60" s="148"/>
      <c r="O60" s="149"/>
      <c r="P60" s="147" t="s">
        <v>195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215</v>
      </c>
      <c r="F66" s="37"/>
      <c r="G66" s="38" t="s">
        <v>110</v>
      </c>
      <c r="H66" s="36">
        <f>H68-H84-H93</f>
        <v>225</v>
      </c>
      <c r="I66" s="37"/>
      <c r="J66" s="38" t="s">
        <v>110</v>
      </c>
      <c r="K66" s="36">
        <f>K68-K84-K93</f>
        <v>215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225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 t="s">
        <v>198</v>
      </c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 t="s">
        <v>191</v>
      </c>
      <c r="E82" s="1">
        <v>10</v>
      </c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f>SUM(E82:E83)</f>
        <v>10</v>
      </c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192</v>
      </c>
      <c r="K89" s="1">
        <v>5</v>
      </c>
      <c r="M89" s="109"/>
      <c r="P89" s="109" t="s">
        <v>197</v>
      </c>
    </row>
    <row r="90" spans="10:11" ht="12.75">
      <c r="J90" s="1">
        <v>9631</v>
      </c>
      <c r="K90" s="1">
        <v>5</v>
      </c>
    </row>
    <row r="93" ht="12.75">
      <c r="K93" s="1">
        <f>SUM(K89:K92)</f>
        <v>10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/>
      <c r="E99" s="28"/>
      <c r="F99" s="42"/>
      <c r="G99" s="83"/>
      <c r="H99" s="28"/>
      <c r="I99" s="42"/>
      <c r="J99" s="83" t="s">
        <v>193</v>
      </c>
      <c r="K99" s="28"/>
      <c r="L99" s="42"/>
      <c r="M99" s="83"/>
      <c r="N99" s="28"/>
      <c r="O99" s="42"/>
      <c r="P99" s="83" t="s">
        <v>166</v>
      </c>
      <c r="Q99" s="28"/>
      <c r="R99" s="42"/>
    </row>
    <row r="100" ht="12.75">
      <c r="P100" s="28" t="s">
        <v>124</v>
      </c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40741</v>
      </c>
      <c r="E1" s="155"/>
      <c r="F1" s="156"/>
      <c r="G1" s="16"/>
      <c r="H1" s="24">
        <v>40748</v>
      </c>
      <c r="I1" s="17"/>
      <c r="J1" s="30"/>
      <c r="K1" s="24">
        <v>40755</v>
      </c>
      <c r="L1" s="31"/>
      <c r="M1" s="16"/>
      <c r="N1" s="24">
        <v>40762</v>
      </c>
      <c r="O1" s="17"/>
      <c r="P1" s="16"/>
      <c r="Q1" s="24">
        <v>40769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'2011年6月'!U3</f>
        <v>18.0668</v>
      </c>
      <c r="D3" s="50">
        <v>1</v>
      </c>
      <c r="E3" s="51"/>
      <c r="F3" s="52">
        <f>-18.75*D3</f>
        <v>-18.75</v>
      </c>
      <c r="G3" s="50"/>
      <c r="H3" s="51"/>
      <c r="I3" s="52"/>
      <c r="J3" s="50">
        <v>1</v>
      </c>
      <c r="K3" s="51"/>
      <c r="L3" s="52">
        <f>-21.0171*J3</f>
        <v>-21.0171</v>
      </c>
      <c r="M3" s="50">
        <v>1</v>
      </c>
      <c r="N3" s="51">
        <v>100</v>
      </c>
      <c r="O3" s="52">
        <f>-15.2631*M3</f>
        <v>-15.2631</v>
      </c>
      <c r="P3" s="90">
        <v>1</v>
      </c>
      <c r="Q3" s="99"/>
      <c r="R3" s="52">
        <f>-15.7895*P3</f>
        <v>-15.7895</v>
      </c>
      <c r="S3" s="50"/>
      <c r="T3" s="53"/>
      <c r="U3" s="77">
        <f aca="true" t="shared" si="0" ref="U3:U34">C3+E3+F3+H3+I3+K3+L3+N3+O3+T3+Q3+R3</f>
        <v>47.2471</v>
      </c>
      <c r="W3" s="89"/>
    </row>
    <row r="4" spans="1:23" ht="12.75">
      <c r="A4" s="2">
        <v>2</v>
      </c>
      <c r="B4" s="76" t="s">
        <v>3</v>
      </c>
      <c r="C4" s="49">
        <f>'2011年6月'!U4</f>
        <v>-20.099800000000002</v>
      </c>
      <c r="D4" s="50">
        <v>1</v>
      </c>
      <c r="E4" s="51"/>
      <c r="F4" s="52">
        <f aca="true" t="shared" si="1" ref="F4:F53">-18.75*D4</f>
        <v>-18.75</v>
      </c>
      <c r="G4" s="50"/>
      <c r="H4" s="51"/>
      <c r="I4" s="52"/>
      <c r="J4" s="50">
        <v>1</v>
      </c>
      <c r="K4" s="51"/>
      <c r="L4" s="52">
        <f aca="true" t="shared" si="2" ref="L4:L53">-21.0171*J4</f>
        <v>-21.0171</v>
      </c>
      <c r="M4" s="50">
        <v>1</v>
      </c>
      <c r="N4" s="51">
        <v>100</v>
      </c>
      <c r="O4" s="52">
        <f aca="true" t="shared" si="3" ref="O4:O53">-15.2631*M4</f>
        <v>-15.2631</v>
      </c>
      <c r="P4" s="90">
        <v>1</v>
      </c>
      <c r="Q4" s="99"/>
      <c r="R4" s="52">
        <f aca="true" t="shared" si="4" ref="R4:R53">-15.7895*P4</f>
        <v>-15.7895</v>
      </c>
      <c r="S4" s="54"/>
      <c r="T4" s="53"/>
      <c r="U4" s="77">
        <f t="shared" si="0"/>
        <v>9.080499999999997</v>
      </c>
      <c r="W4" s="89"/>
    </row>
    <row r="5" spans="1:23" ht="12.75">
      <c r="A5" s="2">
        <v>3</v>
      </c>
      <c r="B5" s="78" t="s">
        <v>182</v>
      </c>
      <c r="C5" s="49">
        <f>'2011年6月'!U5</f>
        <v>60.6864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'2011年6月'!U6</f>
        <v>94.25959999999999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'2011年6月'!U7</f>
        <v>-23.4088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>
        <f t="shared" si="2"/>
        <v>0</v>
      </c>
      <c r="M7" s="56"/>
      <c r="N7" s="57"/>
      <c r="O7" s="58">
        <f t="shared" si="3"/>
        <v>0</v>
      </c>
      <c r="P7" s="92"/>
      <c r="Q7" s="101"/>
      <c r="R7" s="58">
        <f t="shared" si="4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'2011年6月'!U8</f>
        <v>12.019699999999993</v>
      </c>
      <c r="D8" s="56">
        <v>1</v>
      </c>
      <c r="E8" s="57">
        <v>100</v>
      </c>
      <c r="F8" s="58">
        <f t="shared" si="1"/>
        <v>-18.75</v>
      </c>
      <c r="G8" s="56"/>
      <c r="H8" s="57"/>
      <c r="I8" s="58"/>
      <c r="J8" s="56">
        <v>1</v>
      </c>
      <c r="K8" s="57"/>
      <c r="L8" s="58">
        <f t="shared" si="2"/>
        <v>-21.0171</v>
      </c>
      <c r="M8" s="56">
        <v>1</v>
      </c>
      <c r="N8" s="57"/>
      <c r="O8" s="58">
        <f t="shared" si="3"/>
        <v>-15.2631</v>
      </c>
      <c r="P8" s="92">
        <v>1</v>
      </c>
      <c r="Q8" s="101"/>
      <c r="R8" s="58">
        <f t="shared" si="4"/>
        <v>-15.7895</v>
      </c>
      <c r="S8" s="60"/>
      <c r="T8" s="59"/>
      <c r="U8" s="77">
        <f t="shared" si="0"/>
        <v>41.2</v>
      </c>
      <c r="W8" s="89"/>
    </row>
    <row r="9" spans="1:23" ht="12.75">
      <c r="A9" s="2">
        <v>7</v>
      </c>
      <c r="B9" s="82" t="s">
        <v>71</v>
      </c>
      <c r="C9" s="67">
        <f>'2011年6月'!U9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v>-45.3323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'2011年6月'!U10</f>
        <v>42.99699999999998</v>
      </c>
      <c r="D10" s="72">
        <v>1</v>
      </c>
      <c r="E10" s="69"/>
      <c r="F10" s="70">
        <f t="shared" si="1"/>
        <v>-18.75</v>
      </c>
      <c r="G10" s="72"/>
      <c r="H10" s="69"/>
      <c r="I10" s="70"/>
      <c r="J10" s="72">
        <v>1</v>
      </c>
      <c r="K10" s="69">
        <v>100</v>
      </c>
      <c r="L10" s="70">
        <f t="shared" si="2"/>
        <v>-21.0171</v>
      </c>
      <c r="M10" s="72">
        <v>1</v>
      </c>
      <c r="N10" s="69"/>
      <c r="O10" s="70">
        <f t="shared" si="3"/>
        <v>-15.2631</v>
      </c>
      <c r="P10" s="94">
        <v>1</v>
      </c>
      <c r="Q10" s="103"/>
      <c r="R10" s="70">
        <f t="shared" si="4"/>
        <v>-15.7895</v>
      </c>
      <c r="S10" s="72"/>
      <c r="T10" s="71"/>
      <c r="U10" s="77">
        <f t="shared" si="0"/>
        <v>72.17729999999999</v>
      </c>
      <c r="W10" s="89"/>
    </row>
    <row r="11" spans="1:23" ht="12.75">
      <c r="A11" s="2">
        <v>9</v>
      </c>
      <c r="B11" s="82" t="s">
        <v>130</v>
      </c>
      <c r="C11" s="67">
        <f>'2011年6月'!U11</f>
        <v>-8.572400000000005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>
        <f t="shared" si="2"/>
        <v>0</v>
      </c>
      <c r="M11" s="68"/>
      <c r="N11" s="69"/>
      <c r="O11" s="70">
        <f t="shared" si="3"/>
        <v>0</v>
      </c>
      <c r="P11" s="93"/>
      <c r="Q11" s="102"/>
      <c r="R11" s="70">
        <f t="shared" si="4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'2011年6月'!U12</f>
        <v>61.264099999999964</v>
      </c>
      <c r="D12" s="62"/>
      <c r="E12" s="63"/>
      <c r="F12" s="64">
        <f t="shared" si="1"/>
        <v>0</v>
      </c>
      <c r="G12" s="62"/>
      <c r="H12" s="63"/>
      <c r="I12" s="64"/>
      <c r="J12" s="62"/>
      <c r="K12" s="63"/>
      <c r="L12" s="64">
        <f t="shared" si="2"/>
        <v>0</v>
      </c>
      <c r="M12" s="62"/>
      <c r="N12" s="63"/>
      <c r="O12" s="64">
        <f t="shared" si="3"/>
        <v>0</v>
      </c>
      <c r="P12" s="95">
        <v>1</v>
      </c>
      <c r="Q12" s="104"/>
      <c r="R12" s="64">
        <f t="shared" si="4"/>
        <v>-15.7895</v>
      </c>
      <c r="S12" s="62"/>
      <c r="T12" s="66"/>
      <c r="U12" s="77">
        <f t="shared" si="0"/>
        <v>45.47459999999997</v>
      </c>
      <c r="W12" s="89"/>
    </row>
    <row r="13" spans="1:23" ht="12.75">
      <c r="A13" s="2">
        <v>11</v>
      </c>
      <c r="B13" s="80" t="s">
        <v>75</v>
      </c>
      <c r="C13" s="61">
        <f>'2011年6月'!U13</f>
        <v>2.8205999999999944</v>
      </c>
      <c r="D13" s="112"/>
      <c r="E13" s="111"/>
      <c r="F13" s="117">
        <f t="shared" si="1"/>
        <v>0</v>
      </c>
      <c r="G13" s="112"/>
      <c r="H13" s="111"/>
      <c r="I13" s="117"/>
      <c r="J13" s="112"/>
      <c r="K13" s="111"/>
      <c r="L13" s="64">
        <v>-2.8206</v>
      </c>
      <c r="M13" s="112"/>
      <c r="N13" s="121"/>
      <c r="O13" s="64">
        <f t="shared" si="3"/>
        <v>0</v>
      </c>
      <c r="P13" s="113"/>
      <c r="Q13" s="114"/>
      <c r="R13" s="64">
        <f t="shared" si="4"/>
        <v>0</v>
      </c>
      <c r="S13" s="119"/>
      <c r="T13" s="115"/>
      <c r="U13" s="77">
        <f t="shared" si="0"/>
        <v>-5.773159728050814E-15</v>
      </c>
      <c r="W13" s="89"/>
    </row>
    <row r="14" spans="1:23" ht="12.75">
      <c r="A14" s="2">
        <v>12</v>
      </c>
      <c r="B14" s="80" t="s">
        <v>167</v>
      </c>
      <c r="C14" s="61">
        <f>'2011年6月'!U14</f>
        <v>20.8643</v>
      </c>
      <c r="D14" s="62"/>
      <c r="E14" s="63"/>
      <c r="F14" s="64">
        <f t="shared" si="1"/>
        <v>0</v>
      </c>
      <c r="G14" s="62"/>
      <c r="H14" s="63"/>
      <c r="I14" s="64"/>
      <c r="J14" s="62">
        <v>1</v>
      </c>
      <c r="K14" s="63"/>
      <c r="L14" s="64">
        <f t="shared" si="2"/>
        <v>-21.0171</v>
      </c>
      <c r="M14" s="62">
        <v>1</v>
      </c>
      <c r="N14" s="63">
        <v>100</v>
      </c>
      <c r="O14" s="64">
        <f t="shared" si="3"/>
        <v>-15.2631</v>
      </c>
      <c r="P14" s="95"/>
      <c r="Q14" s="104"/>
      <c r="R14" s="64">
        <f t="shared" si="4"/>
        <v>0</v>
      </c>
      <c r="S14" s="62"/>
      <c r="T14" s="66"/>
      <c r="U14" s="77">
        <f t="shared" si="0"/>
        <v>84.5841</v>
      </c>
      <c r="W14" s="89"/>
    </row>
    <row r="15" spans="1:23" ht="12.75">
      <c r="A15" s="2">
        <v>13</v>
      </c>
      <c r="B15" s="81" t="s">
        <v>77</v>
      </c>
      <c r="C15" s="43">
        <f>'2011年6月'!U15</f>
        <v>35.531099999999995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>
        <f t="shared" si="2"/>
        <v>0</v>
      </c>
      <c r="M15" s="44">
        <v>1</v>
      </c>
      <c r="N15" s="45">
        <v>100</v>
      </c>
      <c r="O15" s="46">
        <f t="shared" si="3"/>
        <v>-15.2631</v>
      </c>
      <c r="P15" s="96">
        <v>1</v>
      </c>
      <c r="Q15" s="105"/>
      <c r="R15" s="46">
        <f t="shared" si="4"/>
        <v>-15.7895</v>
      </c>
      <c r="S15" s="48"/>
      <c r="T15" s="47"/>
      <c r="U15" s="77">
        <f t="shared" si="0"/>
        <v>104.47849999999998</v>
      </c>
      <c r="W15" s="89"/>
    </row>
    <row r="16" spans="1:23" ht="12.75">
      <c r="A16" s="2">
        <v>14</v>
      </c>
      <c r="B16" s="81" t="s">
        <v>133</v>
      </c>
      <c r="C16" s="43">
        <f>'2011年6月'!U16</f>
        <v>-4.538800000000009</v>
      </c>
      <c r="D16" s="44"/>
      <c r="E16" s="45"/>
      <c r="F16" s="46">
        <f t="shared" si="1"/>
        <v>0</v>
      </c>
      <c r="G16" s="44"/>
      <c r="H16" s="45"/>
      <c r="I16" s="46"/>
      <c r="J16" s="44">
        <v>1</v>
      </c>
      <c r="K16" s="45"/>
      <c r="L16" s="46">
        <f t="shared" si="2"/>
        <v>-21.0171</v>
      </c>
      <c r="M16" s="44">
        <v>1</v>
      </c>
      <c r="N16" s="45">
        <v>100</v>
      </c>
      <c r="O16" s="46">
        <f t="shared" si="3"/>
        <v>-15.2631</v>
      </c>
      <c r="P16" s="96">
        <v>1</v>
      </c>
      <c r="Q16" s="105"/>
      <c r="R16" s="46">
        <f t="shared" si="4"/>
        <v>-15.7895</v>
      </c>
      <c r="S16" s="44"/>
      <c r="T16" s="47"/>
      <c r="U16" s="77">
        <f t="shared" si="0"/>
        <v>43.39149999999999</v>
      </c>
      <c r="W16" s="89"/>
    </row>
    <row r="17" spans="1:23" ht="12.75">
      <c r="A17" s="2">
        <v>15</v>
      </c>
      <c r="B17" s="81" t="s">
        <v>184</v>
      </c>
      <c r="C17" s="43">
        <f>'2011年6月'!U17</f>
        <v>60.5953</v>
      </c>
      <c r="D17" s="44">
        <v>1</v>
      </c>
      <c r="E17" s="45"/>
      <c r="F17" s="46">
        <f t="shared" si="1"/>
        <v>-18.75</v>
      </c>
      <c r="G17" s="44"/>
      <c r="H17" s="45"/>
      <c r="I17" s="46"/>
      <c r="J17" s="44">
        <v>1</v>
      </c>
      <c r="K17" s="45"/>
      <c r="L17" s="46">
        <f t="shared" si="2"/>
        <v>-21.0171</v>
      </c>
      <c r="M17" s="44"/>
      <c r="N17" s="45"/>
      <c r="O17" s="46">
        <f t="shared" si="3"/>
        <v>0</v>
      </c>
      <c r="P17" s="96">
        <v>1</v>
      </c>
      <c r="Q17" s="105"/>
      <c r="R17" s="46">
        <f t="shared" si="4"/>
        <v>-15.7895</v>
      </c>
      <c r="S17" s="48"/>
      <c r="T17" s="47"/>
      <c r="U17" s="77">
        <f t="shared" si="0"/>
        <v>5.038700000000002</v>
      </c>
      <c r="W17" s="89"/>
    </row>
    <row r="18" spans="1:23" ht="12.75">
      <c r="A18" s="2">
        <v>16</v>
      </c>
      <c r="B18" s="78" t="s">
        <v>79</v>
      </c>
      <c r="C18" s="49">
        <f>'2011年6月'!U18</f>
        <v>63.16209999999998</v>
      </c>
      <c r="D18" s="50"/>
      <c r="E18" s="51"/>
      <c r="F18" s="52">
        <f t="shared" si="1"/>
        <v>0</v>
      </c>
      <c r="G18" s="50"/>
      <c r="H18" s="51"/>
      <c r="I18" s="52"/>
      <c r="J18" s="50"/>
      <c r="K18" s="51"/>
      <c r="L18" s="52">
        <f t="shared" si="2"/>
        <v>0</v>
      </c>
      <c r="M18" s="50">
        <v>1</v>
      </c>
      <c r="N18" s="51"/>
      <c r="O18" s="52">
        <f>-15.2631*M18-10</f>
        <v>-25.2631</v>
      </c>
      <c r="P18" s="90"/>
      <c r="Q18" s="99"/>
      <c r="R18" s="52">
        <f t="shared" si="4"/>
        <v>0</v>
      </c>
      <c r="S18" s="50"/>
      <c r="T18" s="53"/>
      <c r="U18" s="77">
        <f t="shared" si="0"/>
        <v>37.89899999999998</v>
      </c>
      <c r="W18" s="89"/>
    </row>
    <row r="19" spans="1:23" ht="12.75">
      <c r="A19" s="2">
        <v>17</v>
      </c>
      <c r="B19" s="78" t="s">
        <v>67</v>
      </c>
      <c r="C19" s="49">
        <f>'2011年6月'!U19</f>
        <v>39.209499999999984</v>
      </c>
      <c r="D19" s="50">
        <v>1</v>
      </c>
      <c r="E19" s="51"/>
      <c r="F19" s="52">
        <f t="shared" si="1"/>
        <v>-18.75</v>
      </c>
      <c r="G19" s="50"/>
      <c r="H19" s="51"/>
      <c r="I19" s="52"/>
      <c r="J19" s="50">
        <v>1</v>
      </c>
      <c r="K19" s="51"/>
      <c r="L19" s="52">
        <f t="shared" si="2"/>
        <v>-21.0171</v>
      </c>
      <c r="M19" s="50"/>
      <c r="N19" s="51"/>
      <c r="O19" s="52">
        <f t="shared" si="3"/>
        <v>0</v>
      </c>
      <c r="P19" s="90">
        <v>1</v>
      </c>
      <c r="Q19" s="99">
        <v>100</v>
      </c>
      <c r="R19" s="52">
        <f t="shared" si="4"/>
        <v>-15.7895</v>
      </c>
      <c r="S19" s="54"/>
      <c r="T19" s="53"/>
      <c r="U19" s="77">
        <f t="shared" si="0"/>
        <v>83.65289999999999</v>
      </c>
      <c r="W19" s="89"/>
    </row>
    <row r="20" spans="1:23" ht="12.75">
      <c r="A20" s="2">
        <v>18</v>
      </c>
      <c r="B20" s="78" t="s">
        <v>134</v>
      </c>
      <c r="C20" s="49">
        <f>'2011年6月'!U20</f>
        <v>26.722200000000004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>
        <f t="shared" si="2"/>
        <v>0</v>
      </c>
      <c r="M20" s="50">
        <v>1</v>
      </c>
      <c r="N20" s="51"/>
      <c r="O20" s="52">
        <f t="shared" si="3"/>
        <v>-15.2631</v>
      </c>
      <c r="P20" s="90"/>
      <c r="Q20" s="99"/>
      <c r="R20" s="52">
        <f t="shared" si="4"/>
        <v>0</v>
      </c>
      <c r="S20" s="50"/>
      <c r="T20" s="53"/>
      <c r="U20" s="77">
        <f t="shared" si="0"/>
        <v>11.459100000000005</v>
      </c>
      <c r="W20" s="89"/>
    </row>
    <row r="21" spans="1:23" ht="12.75">
      <c r="A21" s="2">
        <v>19</v>
      </c>
      <c r="B21" s="79" t="s">
        <v>82</v>
      </c>
      <c r="C21" s="55">
        <f>'2011年6月'!U21</f>
        <v>29.81079999999998</v>
      </c>
      <c r="D21" s="56"/>
      <c r="E21" s="57"/>
      <c r="F21" s="58">
        <f t="shared" si="1"/>
        <v>0</v>
      </c>
      <c r="G21" s="56"/>
      <c r="H21" s="57"/>
      <c r="I21" s="58"/>
      <c r="J21" s="56"/>
      <c r="K21" s="57"/>
      <c r="L21" s="58">
        <f t="shared" si="2"/>
        <v>0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204</v>
      </c>
      <c r="C22" s="55">
        <f>'2011年6月'!U22</f>
        <v>64.58330000000001</v>
      </c>
      <c r="D22" s="56">
        <v>1</v>
      </c>
      <c r="E22" s="57"/>
      <c r="F22" s="58">
        <f t="shared" si="1"/>
        <v>-18.75</v>
      </c>
      <c r="G22" s="56"/>
      <c r="H22" s="57"/>
      <c r="I22" s="58"/>
      <c r="J22" s="56">
        <v>1</v>
      </c>
      <c r="K22" s="57"/>
      <c r="L22" s="58">
        <f t="shared" si="2"/>
        <v>-21.0171</v>
      </c>
      <c r="M22" s="56">
        <v>1</v>
      </c>
      <c r="N22" s="57"/>
      <c r="O22" s="58">
        <f t="shared" si="3"/>
        <v>-15.2631</v>
      </c>
      <c r="P22" s="92">
        <v>1</v>
      </c>
      <c r="Q22" s="101">
        <v>100</v>
      </c>
      <c r="R22" s="58">
        <f t="shared" si="4"/>
        <v>-15.7895</v>
      </c>
      <c r="S22" s="56"/>
      <c r="T22" s="59"/>
      <c r="U22" s="77">
        <f t="shared" si="0"/>
        <v>93.76360000000001</v>
      </c>
      <c r="W22" s="89"/>
    </row>
    <row r="23" spans="1:23" ht="12.75">
      <c r="A23" s="2">
        <v>21</v>
      </c>
      <c r="B23" s="79" t="s">
        <v>128</v>
      </c>
      <c r="C23" s="55">
        <f>'2011年6月'!U23</f>
        <v>85.60669999999999</v>
      </c>
      <c r="D23" s="56"/>
      <c r="E23" s="57"/>
      <c r="F23" s="58">
        <f t="shared" si="1"/>
        <v>0</v>
      </c>
      <c r="G23" s="56"/>
      <c r="H23" s="57"/>
      <c r="I23" s="58"/>
      <c r="J23" s="56"/>
      <c r="K23" s="57"/>
      <c r="L23" s="58">
        <f t="shared" si="2"/>
        <v>0</v>
      </c>
      <c r="M23" s="56"/>
      <c r="N23" s="57"/>
      <c r="O23" s="58">
        <f t="shared" si="3"/>
        <v>0</v>
      </c>
      <c r="P23" s="92"/>
      <c r="Q23" s="101"/>
      <c r="R23" s="58">
        <f t="shared" si="4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'2011年6月'!U24</f>
        <v>75.27849999999998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>
        <f t="shared" si="2"/>
        <v>0</v>
      </c>
      <c r="M24" s="68"/>
      <c r="N24" s="69"/>
      <c r="O24" s="70">
        <f t="shared" si="3"/>
        <v>0</v>
      </c>
      <c r="P24" s="93"/>
      <c r="Q24" s="102"/>
      <c r="R24" s="70">
        <f t="shared" si="4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'2011年6月'!U25</f>
        <v>102.06030000000001</v>
      </c>
      <c r="D25" s="68">
        <v>1</v>
      </c>
      <c r="E25" s="69"/>
      <c r="F25" s="70">
        <f t="shared" si="1"/>
        <v>-18.75</v>
      </c>
      <c r="G25" s="68"/>
      <c r="H25" s="69"/>
      <c r="I25" s="70"/>
      <c r="J25" s="68">
        <v>1</v>
      </c>
      <c r="K25" s="69"/>
      <c r="L25" s="70">
        <f t="shared" si="2"/>
        <v>-21.0171</v>
      </c>
      <c r="M25" s="68">
        <v>1</v>
      </c>
      <c r="N25" s="69"/>
      <c r="O25" s="70">
        <f t="shared" si="3"/>
        <v>-15.2631</v>
      </c>
      <c r="P25" s="93">
        <v>1</v>
      </c>
      <c r="Q25" s="102"/>
      <c r="R25" s="70">
        <f t="shared" si="4"/>
        <v>-15.7895</v>
      </c>
      <c r="S25" s="68"/>
      <c r="T25" s="71"/>
      <c r="U25" s="77">
        <f t="shared" si="0"/>
        <v>31.24060000000001</v>
      </c>
      <c r="W25" s="89"/>
    </row>
    <row r="26" spans="1:23" ht="12.75">
      <c r="A26" s="2">
        <v>24</v>
      </c>
      <c r="B26" s="82" t="s">
        <v>86</v>
      </c>
      <c r="C26" s="67">
        <f>'2011年6月'!U26</f>
        <v>19.225799999999985</v>
      </c>
      <c r="D26" s="68">
        <v>1</v>
      </c>
      <c r="E26" s="69"/>
      <c r="F26" s="70">
        <f t="shared" si="1"/>
        <v>-18.75</v>
      </c>
      <c r="G26" s="68"/>
      <c r="H26" s="69"/>
      <c r="I26" s="70"/>
      <c r="J26" s="68"/>
      <c r="K26" s="69"/>
      <c r="L26" s="70">
        <f t="shared" si="2"/>
        <v>0</v>
      </c>
      <c r="M26" s="68"/>
      <c r="N26" s="69"/>
      <c r="O26" s="70">
        <f t="shared" si="3"/>
        <v>0</v>
      </c>
      <c r="P26" s="93">
        <v>1</v>
      </c>
      <c r="Q26" s="102">
        <v>100</v>
      </c>
      <c r="R26" s="70">
        <f t="shared" si="4"/>
        <v>-15.7895</v>
      </c>
      <c r="S26" s="72"/>
      <c r="T26" s="71"/>
      <c r="U26" s="77">
        <f t="shared" si="0"/>
        <v>84.68629999999999</v>
      </c>
      <c r="W26" s="89"/>
    </row>
    <row r="27" spans="1:23" ht="12.75">
      <c r="A27" s="2">
        <v>25</v>
      </c>
      <c r="B27" s="80" t="s">
        <v>137</v>
      </c>
      <c r="C27" s="61">
        <f>'2011年6月'!U27</f>
        <v>9.67860000000001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'2011年6月'!U28</f>
        <v>-50.7356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>
        <f t="shared" si="4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'2011年6月'!U29</f>
        <v>-1.7763568394002505E-15</v>
      </c>
      <c r="D29" s="112"/>
      <c r="E29" s="111"/>
      <c r="F29" s="64">
        <f t="shared" si="1"/>
        <v>0</v>
      </c>
      <c r="G29" s="112"/>
      <c r="H29" s="111"/>
      <c r="I29" s="64"/>
      <c r="J29" s="112"/>
      <c r="K29" s="111"/>
      <c r="L29" s="64">
        <f t="shared" si="2"/>
        <v>0</v>
      </c>
      <c r="M29" s="112"/>
      <c r="N29" s="111"/>
      <c r="O29" s="64">
        <f t="shared" si="3"/>
        <v>0</v>
      </c>
      <c r="P29" s="113"/>
      <c r="Q29" s="114"/>
      <c r="R29" s="64">
        <f t="shared" si="4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'2011年6月'!U30</f>
        <v>-15.323200000000003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'2011年6月'!U31</f>
        <v>-16.688299999999998</v>
      </c>
      <c r="D31" s="112"/>
      <c r="E31" s="120"/>
      <c r="F31" s="117">
        <f t="shared" si="1"/>
        <v>0</v>
      </c>
      <c r="G31" s="112"/>
      <c r="H31" s="120"/>
      <c r="I31" s="117"/>
      <c r="J31" s="112"/>
      <c r="K31" s="120"/>
      <c r="L31" s="46">
        <v>16.6883</v>
      </c>
      <c r="M31" s="112"/>
      <c r="N31" s="120"/>
      <c r="O31" s="46">
        <f t="shared" si="3"/>
        <v>0</v>
      </c>
      <c r="P31" s="113"/>
      <c r="Q31" s="114"/>
      <c r="R31" s="46">
        <f t="shared" si="4"/>
        <v>0</v>
      </c>
      <c r="S31" s="112"/>
      <c r="T31" s="115"/>
      <c r="U31" s="77">
        <f t="shared" si="0"/>
        <v>3.552713678800501E-15</v>
      </c>
      <c r="W31" s="89"/>
    </row>
    <row r="32" spans="1:23" ht="12.75">
      <c r="A32" s="2">
        <v>30</v>
      </c>
      <c r="B32" s="81" t="s">
        <v>168</v>
      </c>
      <c r="C32" s="43">
        <f>'2011年6月'!U32</f>
        <v>12.203800000000001</v>
      </c>
      <c r="D32" s="48">
        <v>1</v>
      </c>
      <c r="E32" s="75">
        <v>100</v>
      </c>
      <c r="F32" s="46">
        <f t="shared" si="1"/>
        <v>-18.75</v>
      </c>
      <c r="G32" s="48"/>
      <c r="H32" s="75"/>
      <c r="I32" s="46"/>
      <c r="J32" s="48">
        <v>1</v>
      </c>
      <c r="K32" s="75"/>
      <c r="L32" s="46">
        <f t="shared" si="2"/>
        <v>-21.0171</v>
      </c>
      <c r="M32" s="48">
        <v>1</v>
      </c>
      <c r="N32" s="75"/>
      <c r="O32" s="46">
        <f t="shared" si="3"/>
        <v>-15.2631</v>
      </c>
      <c r="P32" s="98">
        <v>1</v>
      </c>
      <c r="Q32" s="107"/>
      <c r="R32" s="46">
        <f t="shared" si="4"/>
        <v>-15.7895</v>
      </c>
      <c r="S32" s="48"/>
      <c r="T32" s="47"/>
      <c r="U32" s="77">
        <f t="shared" si="0"/>
        <v>41.384100000000004</v>
      </c>
      <c r="W32" s="89"/>
    </row>
    <row r="33" spans="1:23" ht="12.75">
      <c r="A33" s="2">
        <v>31</v>
      </c>
      <c r="B33" s="78" t="s">
        <v>169</v>
      </c>
      <c r="C33" s="49">
        <f>'2011年6月'!U33</f>
        <v>-12.30240000000002</v>
      </c>
      <c r="D33" s="50"/>
      <c r="E33" s="51"/>
      <c r="F33" s="52">
        <f t="shared" si="1"/>
        <v>0</v>
      </c>
      <c r="G33" s="50"/>
      <c r="H33" s="51"/>
      <c r="I33" s="52"/>
      <c r="J33" s="50">
        <v>1</v>
      </c>
      <c r="K33" s="51">
        <v>100</v>
      </c>
      <c r="L33" s="52">
        <f t="shared" si="2"/>
        <v>-21.0171</v>
      </c>
      <c r="M33" s="50">
        <v>1</v>
      </c>
      <c r="N33" s="51"/>
      <c r="O33" s="52">
        <f t="shared" si="3"/>
        <v>-15.2631</v>
      </c>
      <c r="P33" s="90"/>
      <c r="Q33" s="99"/>
      <c r="R33" s="52">
        <f t="shared" si="4"/>
        <v>0</v>
      </c>
      <c r="S33" s="50"/>
      <c r="T33" s="53"/>
      <c r="U33" s="77">
        <f t="shared" si="0"/>
        <v>51.41739999999998</v>
      </c>
      <c r="W33" s="89"/>
    </row>
    <row r="34" spans="1:23" ht="12.75">
      <c r="A34" s="2">
        <v>32</v>
      </c>
      <c r="B34" s="78" t="s">
        <v>170</v>
      </c>
      <c r="C34" s="49">
        <f>'2011年6月'!U34</f>
        <v>35.52589999999996</v>
      </c>
      <c r="D34" s="50">
        <v>1</v>
      </c>
      <c r="E34" s="51"/>
      <c r="F34" s="52">
        <f t="shared" si="1"/>
        <v>-18.75</v>
      </c>
      <c r="G34" s="88"/>
      <c r="H34" s="51"/>
      <c r="I34" s="52"/>
      <c r="J34" s="88"/>
      <c r="K34" s="51"/>
      <c r="L34" s="52">
        <f t="shared" si="2"/>
        <v>0</v>
      </c>
      <c r="M34" s="50">
        <v>2</v>
      </c>
      <c r="N34" s="51"/>
      <c r="O34" s="52">
        <f t="shared" si="3"/>
        <v>-30.5262</v>
      </c>
      <c r="P34" s="90">
        <v>1</v>
      </c>
      <c r="Q34" s="99"/>
      <c r="R34" s="52">
        <f t="shared" si="4"/>
        <v>-15.7895</v>
      </c>
      <c r="S34" s="54"/>
      <c r="T34" s="53"/>
      <c r="U34" s="77">
        <f t="shared" si="0"/>
        <v>-29.539800000000042</v>
      </c>
      <c r="W34" s="89"/>
    </row>
    <row r="35" spans="1:23" ht="12.75">
      <c r="A35" s="2">
        <v>33</v>
      </c>
      <c r="B35" s="78" t="s">
        <v>94</v>
      </c>
      <c r="C35" s="49">
        <f>'2011年6月'!U35</f>
        <v>45.60919999999999</v>
      </c>
      <c r="D35" s="50">
        <v>1</v>
      </c>
      <c r="E35" s="51"/>
      <c r="F35" s="52">
        <f t="shared" si="1"/>
        <v>-18.75</v>
      </c>
      <c r="G35" s="50"/>
      <c r="H35" s="51"/>
      <c r="I35" s="52"/>
      <c r="J35" s="50">
        <v>1</v>
      </c>
      <c r="K35" s="51"/>
      <c r="L35" s="52">
        <f t="shared" si="2"/>
        <v>-21.0171</v>
      </c>
      <c r="M35" s="50"/>
      <c r="N35" s="51"/>
      <c r="O35" s="52">
        <f t="shared" si="3"/>
        <v>0</v>
      </c>
      <c r="P35" s="90">
        <v>1</v>
      </c>
      <c r="Q35" s="99">
        <v>100</v>
      </c>
      <c r="R35" s="52">
        <f t="shared" si="4"/>
        <v>-15.7895</v>
      </c>
      <c r="S35" s="50"/>
      <c r="T35" s="53"/>
      <c r="U35" s="77">
        <f aca="true" t="shared" si="5" ref="U35:U53">C35+E35+F35+H35+I35+K35+L35+N35+O35+T35+Q35+R35</f>
        <v>90.05259999999998</v>
      </c>
      <c r="W35" s="89"/>
    </row>
    <row r="36" spans="1:23" ht="12.75">
      <c r="A36" s="2">
        <v>34</v>
      </c>
      <c r="B36" s="79"/>
      <c r="C36" s="55">
        <f>'2011年6月'!U36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'2011年6月'!U37</f>
        <v>240.69639999999998</v>
      </c>
      <c r="D37" s="56">
        <v>1</v>
      </c>
      <c r="E37" s="57"/>
      <c r="F37" s="58">
        <f t="shared" si="1"/>
        <v>-18.75</v>
      </c>
      <c r="G37" s="56"/>
      <c r="H37" s="57"/>
      <c r="I37" s="58"/>
      <c r="J37" s="56">
        <v>1</v>
      </c>
      <c r="K37" s="57"/>
      <c r="L37" s="58">
        <f t="shared" si="2"/>
        <v>-21.0171</v>
      </c>
      <c r="M37" s="56">
        <v>1</v>
      </c>
      <c r="N37" s="57"/>
      <c r="O37" s="58">
        <f t="shared" si="3"/>
        <v>-15.2631</v>
      </c>
      <c r="P37" s="92">
        <v>1</v>
      </c>
      <c r="Q37" s="101"/>
      <c r="R37" s="58">
        <f t="shared" si="4"/>
        <v>-15.7895</v>
      </c>
      <c r="S37" s="56"/>
      <c r="T37" s="59"/>
      <c r="U37" s="77">
        <f t="shared" si="5"/>
        <v>169.87669999999997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'2011年6月'!U38</f>
        <v>121.2347</v>
      </c>
      <c r="D38" s="56">
        <v>1</v>
      </c>
      <c r="E38" s="57"/>
      <c r="F38" s="58">
        <f t="shared" si="1"/>
        <v>-18.75</v>
      </c>
      <c r="G38" s="56"/>
      <c r="H38" s="57"/>
      <c r="I38" s="58"/>
      <c r="J38" s="56">
        <v>1</v>
      </c>
      <c r="K38" s="57"/>
      <c r="L38" s="58">
        <f t="shared" si="2"/>
        <v>-21.0171</v>
      </c>
      <c r="M38" s="56">
        <v>1</v>
      </c>
      <c r="N38" s="57"/>
      <c r="O38" s="58">
        <f t="shared" si="3"/>
        <v>-15.2631</v>
      </c>
      <c r="P38" s="92">
        <v>1</v>
      </c>
      <c r="Q38" s="101"/>
      <c r="R38" s="58">
        <f t="shared" si="4"/>
        <v>-15.7895</v>
      </c>
      <c r="S38" s="60"/>
      <c r="T38" s="59"/>
      <c r="U38" s="77">
        <f t="shared" si="5"/>
        <v>50.415000000000006</v>
      </c>
      <c r="W38" s="89"/>
    </row>
    <row r="39" spans="1:23" ht="12.75">
      <c r="A39" s="2">
        <v>37</v>
      </c>
      <c r="B39" s="82" t="s">
        <v>144</v>
      </c>
      <c r="C39" s="67">
        <f>'2011年6月'!U39</f>
        <v>-1.7763568394002505E-15</v>
      </c>
      <c r="D39" s="112"/>
      <c r="E39" s="111"/>
      <c r="F39" s="70">
        <f t="shared" si="1"/>
        <v>0</v>
      </c>
      <c r="G39" s="112"/>
      <c r="H39" s="111"/>
      <c r="I39" s="70"/>
      <c r="J39" s="112"/>
      <c r="K39" s="111"/>
      <c r="L39" s="70">
        <f t="shared" si="2"/>
        <v>0</v>
      </c>
      <c r="M39" s="112"/>
      <c r="N39" s="111"/>
      <c r="O39" s="70">
        <f t="shared" si="3"/>
        <v>0</v>
      </c>
      <c r="P39" s="113"/>
      <c r="Q39" s="114"/>
      <c r="R39" s="70">
        <f t="shared" si="4"/>
        <v>0</v>
      </c>
      <c r="S39" s="112"/>
      <c r="T39" s="115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'2011年6月'!U40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v>-23.5893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'2011年6月'!U41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'2011年6月'!U42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'2011年6月'!U43</f>
        <v>-2.058099999999996</v>
      </c>
      <c r="D43" s="65"/>
      <c r="E43" s="74"/>
      <c r="F43" s="64">
        <f t="shared" si="1"/>
        <v>0</v>
      </c>
      <c r="G43" s="65"/>
      <c r="H43" s="74"/>
      <c r="I43" s="64"/>
      <c r="J43" s="65">
        <v>1</v>
      </c>
      <c r="K43" s="74"/>
      <c r="L43" s="64">
        <f t="shared" si="2"/>
        <v>-21.0171</v>
      </c>
      <c r="M43" s="65"/>
      <c r="N43" s="74"/>
      <c r="O43" s="64">
        <f t="shared" si="3"/>
        <v>0</v>
      </c>
      <c r="P43" s="97">
        <v>1</v>
      </c>
      <c r="Q43" s="106"/>
      <c r="R43" s="64">
        <f t="shared" si="4"/>
        <v>-15.7895</v>
      </c>
      <c r="S43" s="65"/>
      <c r="T43" s="66"/>
      <c r="U43" s="77">
        <f t="shared" si="5"/>
        <v>-38.8647</v>
      </c>
      <c r="W43" s="89"/>
    </row>
    <row r="44" spans="1:23" ht="12.75">
      <c r="A44" s="2">
        <v>42</v>
      </c>
      <c r="B44" s="80" t="s">
        <v>171</v>
      </c>
      <c r="C44" s="61">
        <f>'2011年6月'!U44</f>
        <v>26.42449999999998</v>
      </c>
      <c r="D44" s="65">
        <v>1</v>
      </c>
      <c r="E44" s="74"/>
      <c r="F44" s="64">
        <f t="shared" si="1"/>
        <v>-18.75</v>
      </c>
      <c r="G44" s="65"/>
      <c r="H44" s="74"/>
      <c r="I44" s="64"/>
      <c r="J44" s="65">
        <v>1</v>
      </c>
      <c r="K44" s="74"/>
      <c r="L44" s="64">
        <f t="shared" si="2"/>
        <v>-21.0171</v>
      </c>
      <c r="M44" s="65">
        <v>1</v>
      </c>
      <c r="N44" s="74">
        <v>100</v>
      </c>
      <c r="O44" s="64">
        <f t="shared" si="3"/>
        <v>-15.2631</v>
      </c>
      <c r="P44" s="97"/>
      <c r="Q44" s="106"/>
      <c r="R44" s="64">
        <f t="shared" si="4"/>
        <v>0</v>
      </c>
      <c r="S44" s="65"/>
      <c r="T44" s="66"/>
      <c r="U44" s="77">
        <f t="shared" si="5"/>
        <v>71.39429999999999</v>
      </c>
      <c r="W44" s="89"/>
    </row>
    <row r="45" spans="1:23" ht="12.75">
      <c r="A45" s="2">
        <v>43</v>
      </c>
      <c r="B45" s="81"/>
      <c r="C45" s="43">
        <f>'2011年6月'!U45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'2011年6月'!U46</f>
        <v>-4.170400000000004</v>
      </c>
      <c r="D46" s="44"/>
      <c r="E46" s="75"/>
      <c r="F46" s="46">
        <f t="shared" si="1"/>
        <v>0</v>
      </c>
      <c r="G46" s="44"/>
      <c r="H46" s="75"/>
      <c r="I46" s="46"/>
      <c r="J46" s="44"/>
      <c r="K46" s="75"/>
      <c r="L46" s="46">
        <f t="shared" si="2"/>
        <v>0</v>
      </c>
      <c r="M46" s="44"/>
      <c r="N46" s="75"/>
      <c r="O46" s="46">
        <f t="shared" si="3"/>
        <v>0</v>
      </c>
      <c r="P46" s="96"/>
      <c r="Q46" s="105"/>
      <c r="R46" s="46">
        <f t="shared" si="4"/>
        <v>0</v>
      </c>
      <c r="S46" s="44"/>
      <c r="T46" s="47"/>
      <c r="U46" s="77">
        <f t="shared" si="5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'2011年6月'!U47</f>
        <v>78.69139999999999</v>
      </c>
      <c r="D47" s="48">
        <v>1</v>
      </c>
      <c r="E47" s="75"/>
      <c r="F47" s="46">
        <f t="shared" si="1"/>
        <v>-18.75</v>
      </c>
      <c r="G47" s="48"/>
      <c r="H47" s="75"/>
      <c r="I47" s="46"/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-15.2631</v>
      </c>
      <c r="P47" s="98">
        <v>1</v>
      </c>
      <c r="Q47" s="107"/>
      <c r="R47" s="46">
        <f t="shared" si="4"/>
        <v>-15.7895</v>
      </c>
      <c r="S47" s="48"/>
      <c r="T47" s="47"/>
      <c r="U47" s="77">
        <f t="shared" si="5"/>
        <v>28.888799999999986</v>
      </c>
      <c r="W47" s="89"/>
    </row>
    <row r="48" spans="1:23" ht="12.75">
      <c r="A48" s="2">
        <v>46</v>
      </c>
      <c r="B48" s="78"/>
      <c r="C48" s="49">
        <f>'2011年6月'!U48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'2011年6月'!U49</f>
        <v>-56.10380000000001</v>
      </c>
      <c r="D49" s="112"/>
      <c r="E49" s="111"/>
      <c r="F49" s="117">
        <f t="shared" si="1"/>
        <v>0</v>
      </c>
      <c r="G49" s="112"/>
      <c r="H49" s="111"/>
      <c r="I49" s="117"/>
      <c r="J49" s="112"/>
      <c r="K49" s="111"/>
      <c r="L49" s="52">
        <v>56.1038</v>
      </c>
      <c r="M49" s="112"/>
      <c r="N49" s="111"/>
      <c r="O49" s="52">
        <f t="shared" si="3"/>
        <v>0</v>
      </c>
      <c r="P49" s="113"/>
      <c r="Q49" s="118"/>
      <c r="R49" s="52">
        <f t="shared" si="4"/>
        <v>0</v>
      </c>
      <c r="S49" s="119"/>
      <c r="T49" s="115"/>
      <c r="U49" s="77">
        <f t="shared" si="5"/>
        <v>-7.105427357601002E-15</v>
      </c>
      <c r="W49" s="89"/>
    </row>
    <row r="50" spans="1:23" ht="12.75">
      <c r="A50" s="2">
        <v>48</v>
      </c>
      <c r="B50" s="78" t="s">
        <v>172</v>
      </c>
      <c r="C50" s="49">
        <f>'2011年6月'!U50</f>
        <v>-56.2423</v>
      </c>
      <c r="D50" s="112"/>
      <c r="E50" s="111"/>
      <c r="F50" s="117">
        <f t="shared" si="1"/>
        <v>0</v>
      </c>
      <c r="G50" s="112"/>
      <c r="H50" s="111"/>
      <c r="I50" s="117"/>
      <c r="J50" s="112"/>
      <c r="K50" s="111"/>
      <c r="L50" s="52">
        <v>56.2423</v>
      </c>
      <c r="M50" s="112"/>
      <c r="N50" s="111"/>
      <c r="O50" s="52">
        <f t="shared" si="3"/>
        <v>0</v>
      </c>
      <c r="P50" s="113"/>
      <c r="Q50" s="118"/>
      <c r="R50" s="52">
        <f t="shared" si="4"/>
        <v>0</v>
      </c>
      <c r="S50" s="112"/>
      <c r="T50" s="115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'2011年6月'!U51</f>
        <v>0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'2011年6月'!U52</f>
        <v>16.496399999999994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16.496399999999994</v>
      </c>
      <c r="W52" s="89"/>
    </row>
    <row r="53" spans="1:23" ht="12.75">
      <c r="A53" s="2">
        <v>51</v>
      </c>
      <c r="B53" s="87"/>
      <c r="C53" s="55">
        <f>'2011年6月'!U53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16</v>
      </c>
      <c r="F55" s="1">
        <f>E66/D55</f>
        <v>18.75</v>
      </c>
      <c r="G55" s="1">
        <f>SUM(G3:G53)</f>
        <v>0</v>
      </c>
      <c r="I55" s="1" t="e">
        <f>H66/G55</f>
        <v>#DIV/0!</v>
      </c>
      <c r="J55" s="1">
        <f>SUM(J3:J53)</f>
        <v>17</v>
      </c>
      <c r="L55" s="1">
        <f>K66/J55</f>
        <v>21.017058823529414</v>
      </c>
      <c r="M55" s="1">
        <f>SUM(M3:M53)</f>
        <v>19</v>
      </c>
      <c r="O55" s="1">
        <f>N66/M55</f>
        <v>15.263157894736842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-300</v>
      </c>
      <c r="H57" s="28" t="s">
        <v>175</v>
      </c>
      <c r="I57" s="1">
        <f>SUM(I3:I53)</f>
        <v>0</v>
      </c>
      <c r="K57" s="28" t="s">
        <v>175</v>
      </c>
      <c r="L57" s="1">
        <f>SUM(L3:L53)</f>
        <v>-299.99850000000015</v>
      </c>
      <c r="N57" s="28" t="s">
        <v>175</v>
      </c>
      <c r="O57" s="1">
        <f>SUM(O3:O53)</f>
        <v>-299.99890000000005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1300.0026999999995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1500.0047999999997</v>
      </c>
      <c r="W59" s="89">
        <f>U59</f>
        <v>1500.0047999999997</v>
      </c>
    </row>
    <row r="60" spans="4:20" ht="12.75" customHeight="1">
      <c r="D60" s="147" t="s">
        <v>199</v>
      </c>
      <c r="E60" s="148"/>
      <c r="F60" s="149"/>
      <c r="G60" s="147" t="s">
        <v>200</v>
      </c>
      <c r="H60" s="148"/>
      <c r="I60" s="149"/>
      <c r="J60" s="147" t="s">
        <v>201</v>
      </c>
      <c r="K60" s="148"/>
      <c r="L60" s="149"/>
      <c r="M60" s="147" t="s">
        <v>202</v>
      </c>
      <c r="N60" s="148"/>
      <c r="O60" s="149"/>
      <c r="P60" s="147" t="s">
        <v>203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357.29</v>
      </c>
      <c r="L66" s="37"/>
      <c r="M66" s="38" t="s">
        <v>110</v>
      </c>
      <c r="N66" s="36">
        <f>N68-N84-N93</f>
        <v>290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 t="s">
        <v>209</v>
      </c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205</v>
      </c>
      <c r="H74" s="145"/>
      <c r="I74" s="145"/>
      <c r="J74" s="145" t="s">
        <v>207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206</v>
      </c>
      <c r="H77" s="145"/>
      <c r="I77" s="145"/>
      <c r="J77" s="145" t="s">
        <v>208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 t="s">
        <v>62</v>
      </c>
      <c r="N82" s="28">
        <v>10</v>
      </c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 t="s">
        <v>210</v>
      </c>
      <c r="K84" s="122">
        <v>-57.29</v>
      </c>
      <c r="N84" s="28">
        <f>SUM(N82:N83)</f>
        <v>10</v>
      </c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40776</v>
      </c>
      <c r="E1" s="155"/>
      <c r="F1" s="156"/>
      <c r="G1" s="16"/>
      <c r="H1" s="24">
        <v>40783</v>
      </c>
      <c r="I1" s="17"/>
      <c r="J1" s="30"/>
      <c r="K1" s="24">
        <v>40790</v>
      </c>
      <c r="L1" s="31"/>
      <c r="M1" s="16"/>
      <c r="N1" s="24">
        <v>40797</v>
      </c>
      <c r="O1" s="17"/>
      <c r="P1" s="16"/>
      <c r="Q1" s="24">
        <v>40804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'2011年7月'!U3</f>
        <v>47.2471</v>
      </c>
      <c r="D3" s="50">
        <v>1</v>
      </c>
      <c r="E3" s="51"/>
      <c r="F3" s="52">
        <f>-8.3333*D3</f>
        <v>-8.3333</v>
      </c>
      <c r="G3" s="50">
        <v>1</v>
      </c>
      <c r="H3" s="51"/>
      <c r="I3" s="52">
        <f>0*G3</f>
        <v>0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-15*M3</f>
        <v>-15</v>
      </c>
      <c r="P3" s="90">
        <v>1</v>
      </c>
      <c r="Q3" s="99">
        <v>100</v>
      </c>
      <c r="R3" s="52">
        <f>-15.7895*P3</f>
        <v>-15.7895</v>
      </c>
      <c r="S3" s="50"/>
      <c r="T3" s="53"/>
      <c r="U3" s="77">
        <f aca="true" t="shared" si="0" ref="U3:U34">C3+E3+F3+H3+I3+K3+L3+N3+O3+T3+Q3+R3</f>
        <v>91.4576</v>
      </c>
      <c r="W3" s="89"/>
    </row>
    <row r="4" spans="1:23" ht="12.75">
      <c r="A4" s="2">
        <v>2</v>
      </c>
      <c r="B4" s="76" t="s">
        <v>3</v>
      </c>
      <c r="C4" s="49">
        <f>'2011年7月'!U4</f>
        <v>9.080499999999997</v>
      </c>
      <c r="D4" s="50">
        <v>1</v>
      </c>
      <c r="E4" s="51"/>
      <c r="F4" s="52">
        <f aca="true" t="shared" si="1" ref="F4:F53">-8.3333*D4</f>
        <v>-8.3333</v>
      </c>
      <c r="G4" s="50"/>
      <c r="H4" s="51"/>
      <c r="I4" s="52">
        <f aca="true" t="shared" si="2" ref="I4:I53">0*G4</f>
        <v>0</v>
      </c>
      <c r="J4" s="50">
        <v>1</v>
      </c>
      <c r="K4" s="51"/>
      <c r="L4" s="52">
        <f aca="true" t="shared" si="3" ref="L4:L53">-16.6667*J4</f>
        <v>-16.6667</v>
      </c>
      <c r="M4" s="50"/>
      <c r="N4" s="51"/>
      <c r="O4" s="52">
        <f aca="true" t="shared" si="4" ref="O4:O53">-15*M4</f>
        <v>0</v>
      </c>
      <c r="P4" s="90">
        <v>1</v>
      </c>
      <c r="Q4" s="99">
        <v>100</v>
      </c>
      <c r="R4" s="52">
        <f aca="true" t="shared" si="5" ref="R4:R53">-15.7895*P4</f>
        <v>-15.7895</v>
      </c>
      <c r="S4" s="54"/>
      <c r="T4" s="53"/>
      <c r="U4" s="77">
        <f t="shared" si="0"/>
        <v>68.291</v>
      </c>
      <c r="W4" s="89"/>
    </row>
    <row r="5" spans="1:23" ht="12.75">
      <c r="A5" s="2">
        <v>3</v>
      </c>
      <c r="B5" s="78" t="s">
        <v>182</v>
      </c>
      <c r="C5" s="49">
        <f>'2011年7月'!U5</f>
        <v>60.6864</v>
      </c>
      <c r="D5" s="50">
        <v>1</v>
      </c>
      <c r="E5" s="51"/>
      <c r="F5" s="52">
        <f t="shared" si="1"/>
        <v>-8.3333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69</v>
      </c>
      <c r="C6" s="55">
        <f>'2011年7月'!U6</f>
        <v>94.25959999999999</v>
      </c>
      <c r="D6" s="60">
        <v>1</v>
      </c>
      <c r="E6" s="57"/>
      <c r="F6" s="58">
        <f t="shared" si="1"/>
        <v>-8.3333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70</v>
      </c>
      <c r="C7" s="55">
        <f>'2011年7月'!U7</f>
        <v>-23.4088</v>
      </c>
      <c r="D7" s="56">
        <v>1</v>
      </c>
      <c r="E7" s="57"/>
      <c r="F7" s="58">
        <f t="shared" si="1"/>
        <v>-8.3333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187</v>
      </c>
      <c r="C8" s="55">
        <f>'2011年7月'!U8</f>
        <v>41.2</v>
      </c>
      <c r="D8" s="56">
        <v>1</v>
      </c>
      <c r="E8" s="57"/>
      <c r="F8" s="58">
        <f t="shared" si="1"/>
        <v>-8.3333</v>
      </c>
      <c r="G8" s="56">
        <v>1</v>
      </c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92">
        <v>1</v>
      </c>
      <c r="Q8" s="101">
        <v>100</v>
      </c>
      <c r="R8" s="58">
        <f t="shared" si="5"/>
        <v>-15.7895</v>
      </c>
      <c r="S8" s="60"/>
      <c r="T8" s="59"/>
      <c r="U8" s="77">
        <f t="shared" si="0"/>
        <v>100.4105</v>
      </c>
      <c r="W8" s="89"/>
    </row>
    <row r="9" spans="1:23" ht="12.75">
      <c r="A9" s="2">
        <v>7</v>
      </c>
      <c r="B9" s="82"/>
      <c r="C9" s="67">
        <f>'2011年7月'!U9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'2011年7月'!U10</f>
        <v>72.17729999999999</v>
      </c>
      <c r="D10" s="72">
        <v>1</v>
      </c>
      <c r="E10" s="69"/>
      <c r="F10" s="70">
        <f t="shared" si="1"/>
        <v>-8.3333</v>
      </c>
      <c r="G10" s="72">
        <v>1</v>
      </c>
      <c r="H10" s="69"/>
      <c r="I10" s="70">
        <f t="shared" si="2"/>
        <v>0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-15.7895</v>
      </c>
      <c r="S10" s="72"/>
      <c r="T10" s="71"/>
      <c r="U10" s="77">
        <f t="shared" si="0"/>
        <v>16.387799999999988</v>
      </c>
      <c r="W10" s="89"/>
    </row>
    <row r="11" spans="1:23" ht="12.75">
      <c r="A11" s="2">
        <v>9</v>
      </c>
      <c r="B11" s="82" t="s">
        <v>130</v>
      </c>
      <c r="C11" s="67">
        <f>'2011年7月'!U11</f>
        <v>-8.572400000000005</v>
      </c>
      <c r="D11" s="68">
        <v>1</v>
      </c>
      <c r="E11" s="69"/>
      <c r="F11" s="70">
        <f t="shared" si="1"/>
        <v>-8.3333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74</v>
      </c>
      <c r="C12" s="61">
        <f>'2011年7月'!U12</f>
        <v>45.47459999999997</v>
      </c>
      <c r="D12" s="62">
        <v>1</v>
      </c>
      <c r="E12" s="63"/>
      <c r="F12" s="64">
        <f t="shared" si="1"/>
        <v>-8.3333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-15</v>
      </c>
      <c r="P12" s="95"/>
      <c r="Q12" s="104"/>
      <c r="R12" s="64">
        <f t="shared" si="5"/>
        <v>0</v>
      </c>
      <c r="S12" s="62"/>
      <c r="T12" s="66"/>
      <c r="U12" s="77">
        <f t="shared" si="0"/>
        <v>22.141299999999966</v>
      </c>
      <c r="W12" s="89"/>
    </row>
    <row r="13" spans="1:23" ht="12.75">
      <c r="A13" s="2">
        <v>11</v>
      </c>
      <c r="B13" s="80"/>
      <c r="C13" s="61"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'2011年7月'!U14</f>
        <v>84.5841</v>
      </c>
      <c r="D14" s="62">
        <v>1</v>
      </c>
      <c r="E14" s="63"/>
      <c r="F14" s="64">
        <f t="shared" si="1"/>
        <v>-8.3333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77</v>
      </c>
      <c r="C15" s="43">
        <f>'2011年7月'!U15</f>
        <v>104.47849999999998</v>
      </c>
      <c r="D15" s="44">
        <v>1</v>
      </c>
      <c r="E15" s="45"/>
      <c r="F15" s="46">
        <f t="shared" si="1"/>
        <v>-8.3333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-15</v>
      </c>
      <c r="P15" s="96"/>
      <c r="Q15" s="105"/>
      <c r="R15" s="46">
        <f t="shared" si="5"/>
        <v>0</v>
      </c>
      <c r="S15" s="48"/>
      <c r="T15" s="47"/>
      <c r="U15" s="77">
        <f t="shared" si="0"/>
        <v>81.14519999999999</v>
      </c>
      <c r="W15" s="89"/>
    </row>
    <row r="16" spans="1:23" ht="12.75">
      <c r="A16" s="2">
        <v>14</v>
      </c>
      <c r="B16" s="81" t="s">
        <v>133</v>
      </c>
      <c r="C16" s="43">
        <f>'2011年7月'!U16</f>
        <v>43.39149999999999</v>
      </c>
      <c r="D16" s="44">
        <v>1</v>
      </c>
      <c r="E16" s="45"/>
      <c r="F16" s="46">
        <f t="shared" si="1"/>
        <v>-8.3333</v>
      </c>
      <c r="G16" s="44">
        <v>1</v>
      </c>
      <c r="H16" s="45"/>
      <c r="I16" s="46">
        <f t="shared" si="2"/>
        <v>0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-15.7895</v>
      </c>
      <c r="S16" s="44"/>
      <c r="T16" s="47"/>
      <c r="U16" s="77">
        <f t="shared" si="0"/>
        <v>-12.398000000000007</v>
      </c>
      <c r="W16" s="89"/>
    </row>
    <row r="17" spans="1:23" ht="12.75">
      <c r="A17" s="2">
        <v>15</v>
      </c>
      <c r="B17" s="81" t="s">
        <v>184</v>
      </c>
      <c r="C17" s="43">
        <f>'2011年7月'!U17</f>
        <v>5.038700000000002</v>
      </c>
      <c r="D17" s="44">
        <v>1</v>
      </c>
      <c r="E17" s="45"/>
      <c r="F17" s="46">
        <f t="shared" si="1"/>
        <v>-8.3333</v>
      </c>
      <c r="G17" s="44"/>
      <c r="H17" s="45"/>
      <c r="I17" s="46">
        <f t="shared" si="2"/>
        <v>0</v>
      </c>
      <c r="J17" s="44">
        <v>1</v>
      </c>
      <c r="K17" s="45">
        <v>100</v>
      </c>
      <c r="L17" s="46">
        <f t="shared" si="3"/>
        <v>-16.6667</v>
      </c>
      <c r="M17" s="44">
        <v>1</v>
      </c>
      <c r="N17" s="45"/>
      <c r="O17" s="46">
        <f t="shared" si="4"/>
        <v>-15</v>
      </c>
      <c r="P17" s="96">
        <v>1</v>
      </c>
      <c r="Q17" s="105"/>
      <c r="R17" s="46">
        <f t="shared" si="5"/>
        <v>-15.7895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79</v>
      </c>
      <c r="C18" s="49">
        <f>'2011年7月'!U18</f>
        <v>37.89899999999998</v>
      </c>
      <c r="D18" s="50">
        <v>1</v>
      </c>
      <c r="E18" s="51"/>
      <c r="F18" s="52">
        <f t="shared" si="1"/>
        <v>-8.3333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</v>
      </c>
      <c r="P18" s="90"/>
      <c r="Q18" s="99"/>
      <c r="R18" s="52">
        <f t="shared" si="5"/>
        <v>0</v>
      </c>
      <c r="S18" s="50"/>
      <c r="T18" s="53"/>
      <c r="U18" s="77">
        <f t="shared" si="0"/>
        <v>14.565699999999978</v>
      </c>
      <c r="W18" s="89"/>
    </row>
    <row r="19" spans="1:23" ht="12.75">
      <c r="A19" s="2">
        <v>17</v>
      </c>
      <c r="B19" s="78" t="s">
        <v>67</v>
      </c>
      <c r="C19" s="49">
        <f>'2011年7月'!U19</f>
        <v>83.65289999999999</v>
      </c>
      <c r="D19" s="50">
        <v>1</v>
      </c>
      <c r="E19" s="51"/>
      <c r="F19" s="52">
        <f t="shared" si="1"/>
        <v>-8.3333</v>
      </c>
      <c r="G19" s="50"/>
      <c r="H19" s="51"/>
      <c r="I19" s="52">
        <f t="shared" si="2"/>
        <v>0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</v>
      </c>
      <c r="P19" s="90">
        <v>1</v>
      </c>
      <c r="Q19" s="99"/>
      <c r="R19" s="52">
        <f t="shared" si="5"/>
        <v>-15.7895</v>
      </c>
      <c r="S19" s="54"/>
      <c r="T19" s="53"/>
      <c r="U19" s="77">
        <f t="shared" si="0"/>
        <v>44.53009999999999</v>
      </c>
      <c r="W19" s="89"/>
    </row>
    <row r="20" spans="1:23" ht="12.75">
      <c r="A20" s="2">
        <v>18</v>
      </c>
      <c r="B20" s="78" t="s">
        <v>134</v>
      </c>
      <c r="C20" s="49">
        <f>'2011年7月'!U20</f>
        <v>11.459100000000005</v>
      </c>
      <c r="D20" s="50">
        <v>1</v>
      </c>
      <c r="E20" s="51">
        <v>100</v>
      </c>
      <c r="F20" s="52">
        <f t="shared" si="1"/>
        <v>-8.3333</v>
      </c>
      <c r="G20" s="50">
        <v>1</v>
      </c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>
        <v>1</v>
      </c>
      <c r="N20" s="51"/>
      <c r="O20" s="52">
        <f t="shared" si="4"/>
        <v>-15</v>
      </c>
      <c r="P20" s="90">
        <v>1</v>
      </c>
      <c r="Q20" s="99"/>
      <c r="R20" s="52">
        <f t="shared" si="5"/>
        <v>-15.7895</v>
      </c>
      <c r="S20" s="50"/>
      <c r="T20" s="53"/>
      <c r="U20" s="77">
        <f t="shared" si="0"/>
        <v>55.6696</v>
      </c>
      <c r="W20" s="89"/>
    </row>
    <row r="21" spans="1:23" ht="12.75">
      <c r="A21" s="2">
        <v>19</v>
      </c>
      <c r="B21" s="79" t="s">
        <v>82</v>
      </c>
      <c r="C21" s="55">
        <f>'2011年7月'!U21</f>
        <v>29.81079999999998</v>
      </c>
      <c r="D21" s="56">
        <v>1</v>
      </c>
      <c r="E21" s="57"/>
      <c r="F21" s="58">
        <f t="shared" si="1"/>
        <v>-8.3333</v>
      </c>
      <c r="G21" s="56">
        <v>1</v>
      </c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-15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204</v>
      </c>
      <c r="C22" s="55">
        <f>'2011年7月'!U22</f>
        <v>93.76360000000001</v>
      </c>
      <c r="D22" s="56">
        <v>1</v>
      </c>
      <c r="E22" s="57"/>
      <c r="F22" s="58">
        <f t="shared" si="1"/>
        <v>-8.3333</v>
      </c>
      <c r="G22" s="56">
        <v>1</v>
      </c>
      <c r="H22" s="57"/>
      <c r="I22" s="58">
        <f t="shared" si="2"/>
        <v>0</v>
      </c>
      <c r="J22" s="56">
        <v>1</v>
      </c>
      <c r="K22" s="57"/>
      <c r="L22" s="58">
        <f t="shared" si="3"/>
        <v>-16.6667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-15.7895</v>
      </c>
      <c r="S22" s="56"/>
      <c r="T22" s="59"/>
      <c r="U22" s="77">
        <f t="shared" si="0"/>
        <v>52.97410000000002</v>
      </c>
      <c r="W22" s="89"/>
    </row>
    <row r="23" spans="1:23" ht="12.75">
      <c r="A23" s="2">
        <v>21</v>
      </c>
      <c r="B23" s="79" t="s">
        <v>128</v>
      </c>
      <c r="C23" s="55">
        <f>'2011年7月'!U23</f>
        <v>85.60669999999999</v>
      </c>
      <c r="D23" s="56">
        <v>1</v>
      </c>
      <c r="E23" s="57"/>
      <c r="F23" s="58">
        <f t="shared" si="1"/>
        <v>-8.3333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135</v>
      </c>
      <c r="C24" s="67">
        <f>'2011年7月'!U24</f>
        <v>75.27849999999998</v>
      </c>
      <c r="D24" s="68">
        <v>1</v>
      </c>
      <c r="E24" s="69"/>
      <c r="F24" s="70">
        <f t="shared" si="1"/>
        <v>-8.3333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66.94519999999999</v>
      </c>
      <c r="W24" s="89"/>
    </row>
    <row r="25" spans="1:23" ht="12.75">
      <c r="A25" s="2">
        <v>23</v>
      </c>
      <c r="B25" s="82" t="s">
        <v>136</v>
      </c>
      <c r="C25" s="67">
        <f>'2011年7月'!U25</f>
        <v>31.24060000000001</v>
      </c>
      <c r="D25" s="68">
        <v>1</v>
      </c>
      <c r="E25" s="69"/>
      <c r="F25" s="70">
        <f t="shared" si="1"/>
        <v>-8.3333</v>
      </c>
      <c r="G25" s="68">
        <v>1</v>
      </c>
      <c r="H25" s="69"/>
      <c r="I25" s="70">
        <f t="shared" si="2"/>
        <v>0</v>
      </c>
      <c r="J25" s="68">
        <v>2</v>
      </c>
      <c r="K25" s="69"/>
      <c r="L25" s="70">
        <f t="shared" si="3"/>
        <v>-33.3334</v>
      </c>
      <c r="M25" s="68">
        <v>1</v>
      </c>
      <c r="N25" s="69"/>
      <c r="O25" s="70">
        <f t="shared" si="4"/>
        <v>-15</v>
      </c>
      <c r="P25" s="93">
        <v>1</v>
      </c>
      <c r="Q25" s="102">
        <v>100</v>
      </c>
      <c r="R25" s="70">
        <f t="shared" si="5"/>
        <v>-15.7895</v>
      </c>
      <c r="S25" s="68"/>
      <c r="T25" s="71"/>
      <c r="U25" s="77">
        <f t="shared" si="0"/>
        <v>58.784400000000005</v>
      </c>
      <c r="W25" s="89"/>
    </row>
    <row r="26" spans="1:23" ht="12.75">
      <c r="A26" s="2">
        <v>24</v>
      </c>
      <c r="B26" s="82" t="s">
        <v>86</v>
      </c>
      <c r="C26" s="67">
        <f>'2011年7月'!U26</f>
        <v>84.68629999999999</v>
      </c>
      <c r="D26" s="68">
        <v>1</v>
      </c>
      <c r="E26" s="69"/>
      <c r="F26" s="70">
        <f t="shared" si="1"/>
        <v>-8.3333</v>
      </c>
      <c r="G26" s="68">
        <v>1</v>
      </c>
      <c r="H26" s="69"/>
      <c r="I26" s="70">
        <f t="shared" si="2"/>
        <v>0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-15</v>
      </c>
      <c r="P26" s="93">
        <v>1</v>
      </c>
      <c r="Q26" s="102"/>
      <c r="R26" s="70">
        <f t="shared" si="5"/>
        <v>-15.7895</v>
      </c>
      <c r="S26" s="72"/>
      <c r="T26" s="71"/>
      <c r="U26" s="77">
        <f t="shared" si="0"/>
        <v>28.896799999999995</v>
      </c>
      <c r="W26" s="89"/>
    </row>
    <row r="27" spans="1:23" ht="12.75">
      <c r="A27" s="2">
        <v>25</v>
      </c>
      <c r="B27" s="80" t="s">
        <v>137</v>
      </c>
      <c r="C27" s="61">
        <f>'2011年7月'!U27</f>
        <v>9.67860000000001</v>
      </c>
      <c r="D27" s="62">
        <v>1</v>
      </c>
      <c r="E27" s="74"/>
      <c r="F27" s="64">
        <f t="shared" si="1"/>
        <v>-8.3333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1.3453000000000106</v>
      </c>
      <c r="W27" s="89"/>
    </row>
    <row r="28" spans="1:23" ht="12.75">
      <c r="A28" s="2">
        <v>26</v>
      </c>
      <c r="B28" s="80" t="s">
        <v>68</v>
      </c>
      <c r="C28" s="61">
        <f>'2011年7月'!U28</f>
        <v>-50.7356</v>
      </c>
      <c r="D28" s="65">
        <v>1</v>
      </c>
      <c r="E28" s="74"/>
      <c r="F28" s="64">
        <f t="shared" si="1"/>
        <v>-8.3333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'2011年7月'!U30</f>
        <v>-15.323200000000003</v>
      </c>
      <c r="D30" s="48">
        <v>1</v>
      </c>
      <c r="E30" s="75"/>
      <c r="F30" s="46">
        <f t="shared" si="1"/>
        <v>-8.3333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'2011年7月'!U32</f>
        <v>41.384100000000004</v>
      </c>
      <c r="D32" s="48">
        <v>1</v>
      </c>
      <c r="E32" s="75"/>
      <c r="F32" s="46">
        <f t="shared" si="1"/>
        <v>-8.3333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-15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'2011年7月'!U33</f>
        <v>51.41739999999998</v>
      </c>
      <c r="D33" s="50">
        <v>1</v>
      </c>
      <c r="E33" s="51"/>
      <c r="F33" s="52">
        <f t="shared" si="1"/>
        <v>-8.3333</v>
      </c>
      <c r="G33" s="50">
        <v>1</v>
      </c>
      <c r="H33" s="51"/>
      <c r="I33" s="52">
        <f t="shared" si="2"/>
        <v>0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</v>
      </c>
      <c r="P33" s="90">
        <v>1</v>
      </c>
      <c r="Q33" s="99">
        <v>100</v>
      </c>
      <c r="R33" s="52">
        <f t="shared" si="5"/>
        <v>-15.7895</v>
      </c>
      <c r="S33" s="50"/>
      <c r="T33" s="53"/>
      <c r="U33" s="77">
        <f t="shared" si="0"/>
        <v>95.62789999999998</v>
      </c>
      <c r="W33" s="89"/>
    </row>
    <row r="34" spans="1:23" ht="12.75">
      <c r="A34" s="2">
        <v>32</v>
      </c>
      <c r="B34" s="78" t="s">
        <v>170</v>
      </c>
      <c r="C34" s="49">
        <f>'2011年7月'!U34</f>
        <v>-29.539800000000042</v>
      </c>
      <c r="D34" s="50">
        <v>1</v>
      </c>
      <c r="E34" s="51">
        <v>200</v>
      </c>
      <c r="F34" s="52">
        <f t="shared" si="1"/>
        <v>-8.3333</v>
      </c>
      <c r="G34" s="88">
        <v>1</v>
      </c>
      <c r="H34" s="51"/>
      <c r="I34" s="52">
        <f t="shared" si="2"/>
        <v>0</v>
      </c>
      <c r="J34" s="88">
        <v>2</v>
      </c>
      <c r="K34" s="51"/>
      <c r="L34" s="52">
        <f t="shared" si="3"/>
        <v>-33.3334</v>
      </c>
      <c r="M34" s="50">
        <v>1</v>
      </c>
      <c r="N34" s="51"/>
      <c r="O34" s="52">
        <f t="shared" si="4"/>
        <v>-15</v>
      </c>
      <c r="P34" s="90">
        <v>2</v>
      </c>
      <c r="Q34" s="99"/>
      <c r="R34" s="52">
        <f t="shared" si="5"/>
        <v>-31.579</v>
      </c>
      <c r="S34" s="54"/>
      <c r="T34" s="53"/>
      <c r="U34" s="77">
        <f t="shared" si="0"/>
        <v>82.21449999999993</v>
      </c>
      <c r="W34" s="89"/>
    </row>
    <row r="35" spans="1:23" ht="12.75">
      <c r="A35" s="2">
        <v>33</v>
      </c>
      <c r="B35" s="78" t="s">
        <v>94</v>
      </c>
      <c r="C35" s="49">
        <f>'2011年7月'!U35</f>
        <v>90.05259999999998</v>
      </c>
      <c r="D35" s="50">
        <v>1</v>
      </c>
      <c r="E35" s="51"/>
      <c r="F35" s="52">
        <f t="shared" si="1"/>
        <v>-8.3333</v>
      </c>
      <c r="G35" s="50">
        <v>1</v>
      </c>
      <c r="H35" s="51"/>
      <c r="I35" s="52">
        <f t="shared" si="2"/>
        <v>0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-15.7895</v>
      </c>
      <c r="S35" s="50"/>
      <c r="T35" s="53"/>
      <c r="U35" s="77">
        <f aca="true" t="shared" si="6" ref="U35:U53">C35+E35+F35+H35+I35+K35+L35+N35+O35+T35+Q35+R35</f>
        <v>34.26309999999998</v>
      </c>
      <c r="W35" s="89"/>
    </row>
    <row r="36" spans="1:23" ht="12.75">
      <c r="A36" s="2">
        <v>34</v>
      </c>
      <c r="B36" s="79"/>
      <c r="C36" s="55">
        <f>'2011年7月'!U36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'2011年7月'!U37</f>
        <v>169.87669999999997</v>
      </c>
      <c r="D37" s="56">
        <v>1</v>
      </c>
      <c r="E37" s="57"/>
      <c r="F37" s="58">
        <f t="shared" si="1"/>
        <v>-8.3333</v>
      </c>
      <c r="G37" s="56">
        <v>1</v>
      </c>
      <c r="H37" s="57"/>
      <c r="I37" s="58">
        <f t="shared" si="2"/>
        <v>0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-15.7895</v>
      </c>
      <c r="S37" s="56"/>
      <c r="T37" s="59"/>
      <c r="U37" s="77">
        <f t="shared" si="6"/>
        <v>114.08719999999997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'2011年7月'!U38</f>
        <v>50.415000000000006</v>
      </c>
      <c r="D38" s="56">
        <v>1</v>
      </c>
      <c r="E38" s="57"/>
      <c r="F38" s="58">
        <f t="shared" si="1"/>
        <v>-8.3333</v>
      </c>
      <c r="G38" s="56">
        <v>1</v>
      </c>
      <c r="H38" s="57"/>
      <c r="I38" s="58">
        <f t="shared" si="2"/>
        <v>0</v>
      </c>
      <c r="J38" s="56">
        <v>1</v>
      </c>
      <c r="K38" s="57">
        <v>100</v>
      </c>
      <c r="L38" s="58">
        <f t="shared" si="3"/>
        <v>-16.6667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-15.7895</v>
      </c>
      <c r="S38" s="60"/>
      <c r="T38" s="59"/>
      <c r="U38" s="77">
        <f t="shared" si="6"/>
        <v>94.62550000000002</v>
      </c>
      <c r="W38" s="89"/>
    </row>
    <row r="39" spans="1:23" ht="12.75">
      <c r="A39" s="2">
        <v>37</v>
      </c>
      <c r="B39" s="82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'2011年7月'!U42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'2011年7月'!U43</f>
        <v>-38.8647</v>
      </c>
      <c r="D43" s="65">
        <v>1</v>
      </c>
      <c r="E43" s="74"/>
      <c r="F43" s="64">
        <f t="shared" si="1"/>
        <v>-8.3333</v>
      </c>
      <c r="G43" s="65">
        <v>1</v>
      </c>
      <c r="H43" s="74"/>
      <c r="I43" s="64">
        <f t="shared" si="2"/>
        <v>0</v>
      </c>
      <c r="J43" s="65"/>
      <c r="K43" s="74"/>
      <c r="L43" s="64">
        <f t="shared" si="3"/>
        <v>0</v>
      </c>
      <c r="M43" s="65"/>
      <c r="N43" s="74"/>
      <c r="O43" s="64">
        <f t="shared" si="4"/>
        <v>0</v>
      </c>
      <c r="P43" s="97"/>
      <c r="Q43" s="106"/>
      <c r="R43" s="64">
        <f t="shared" si="5"/>
        <v>0</v>
      </c>
      <c r="S43" s="65"/>
      <c r="T43" s="66"/>
      <c r="U43" s="77">
        <f t="shared" si="6"/>
        <v>-47.198</v>
      </c>
      <c r="W43" s="89"/>
    </row>
    <row r="44" spans="1:23" ht="12.75">
      <c r="A44" s="2">
        <v>42</v>
      </c>
      <c r="B44" s="80" t="s">
        <v>171</v>
      </c>
      <c r="C44" s="61">
        <f>'2011年7月'!U44</f>
        <v>71.39429999999999</v>
      </c>
      <c r="D44" s="65">
        <v>1</v>
      </c>
      <c r="E44" s="74"/>
      <c r="F44" s="64">
        <f t="shared" si="1"/>
        <v>-8.3333</v>
      </c>
      <c r="G44" s="65">
        <v>1</v>
      </c>
      <c r="H44" s="74">
        <v>300</v>
      </c>
      <c r="I44" s="64">
        <v>-300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-15</v>
      </c>
      <c r="P44" s="97">
        <v>1</v>
      </c>
      <c r="Q44" s="106"/>
      <c r="R44" s="64">
        <f t="shared" si="5"/>
        <v>-15.7895</v>
      </c>
      <c r="S44" s="65"/>
      <c r="T44" s="66"/>
      <c r="U44" s="77">
        <f t="shared" si="6"/>
        <v>15.60479999999998</v>
      </c>
      <c r="W44" s="89"/>
    </row>
    <row r="45" spans="1:23" ht="12.75">
      <c r="A45" s="2">
        <v>43</v>
      </c>
      <c r="B45" s="81"/>
      <c r="C45" s="43">
        <f>'2011年7月'!U45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'2011年7月'!U46</f>
        <v>-4.170400000000004</v>
      </c>
      <c r="D46" s="44">
        <v>1</v>
      </c>
      <c r="E46" s="75"/>
      <c r="F46" s="46">
        <f t="shared" si="1"/>
        <v>-8.3333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124</v>
      </c>
      <c r="C47" s="43">
        <f>'2011年7月'!U47</f>
        <v>28.888799999999986</v>
      </c>
      <c r="D47" s="48">
        <v>1</v>
      </c>
      <c r="E47" s="75"/>
      <c r="F47" s="46">
        <f t="shared" si="1"/>
        <v>-8.3333</v>
      </c>
      <c r="G47" s="48">
        <v>1</v>
      </c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>
        <v>100</v>
      </c>
      <c r="O47" s="46">
        <f t="shared" si="4"/>
        <v>-15</v>
      </c>
      <c r="P47" s="98">
        <v>1</v>
      </c>
      <c r="Q47" s="107"/>
      <c r="R47" s="46">
        <f t="shared" si="5"/>
        <v>-15.7895</v>
      </c>
      <c r="S47" s="48"/>
      <c r="T47" s="47"/>
      <c r="U47" s="77">
        <f t="shared" si="6"/>
        <v>89.76599999999999</v>
      </c>
      <c r="W47" s="89"/>
    </row>
    <row r="48" spans="1:23" ht="12.75">
      <c r="A48" s="2">
        <v>46</v>
      </c>
      <c r="B48" s="78"/>
      <c r="C48" s="49">
        <f>'2011年7月'!U48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'2011年7月'!U50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'2011年7月'!U51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'2011年7月'!U52</f>
        <v>16.496399999999994</v>
      </c>
      <c r="D52" s="60">
        <v>1</v>
      </c>
      <c r="E52" s="73"/>
      <c r="F52" s="58">
        <f t="shared" si="1"/>
        <v>-8.3333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8.163099999999995</v>
      </c>
      <c r="W52" s="89"/>
    </row>
    <row r="53" spans="1:23" ht="12.75">
      <c r="A53" s="2">
        <v>51</v>
      </c>
      <c r="B53" s="87"/>
      <c r="C53" s="55">
        <f>'2011年7月'!U53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36</v>
      </c>
      <c r="F55" s="1">
        <f>E66/D55</f>
        <v>8.333333333333334</v>
      </c>
      <c r="G55" s="1">
        <f>SUM(G3:G53)</f>
        <v>17</v>
      </c>
      <c r="I55" s="1">
        <f>H66/G55</f>
        <v>17.647058823529413</v>
      </c>
      <c r="J55" s="1">
        <f>SUM(J3:J53)</f>
        <v>18</v>
      </c>
      <c r="L55" s="1">
        <f>K66/J55</f>
        <v>16.666666666666668</v>
      </c>
      <c r="M55" s="1">
        <f>SUM(M3:M53)</f>
        <v>20</v>
      </c>
      <c r="O55" s="1">
        <f>N66/M55</f>
        <v>15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-299.99880000000013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-300.0005999999999</v>
      </c>
      <c r="N57" s="28" t="s">
        <v>175</v>
      </c>
      <c r="O57" s="1">
        <f>SUM(O3:O53)</f>
        <v>-300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1500.0047999999997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1400.0048999999997</v>
      </c>
      <c r="W59" s="89">
        <f>U59</f>
        <v>1400.0048999999997</v>
      </c>
    </row>
    <row r="60" spans="4:20" ht="12.75" customHeight="1">
      <c r="D60" s="147" t="s">
        <v>211</v>
      </c>
      <c r="E60" s="148"/>
      <c r="F60" s="149"/>
      <c r="G60" s="147" t="s">
        <v>212</v>
      </c>
      <c r="H60" s="148"/>
      <c r="I60" s="149"/>
      <c r="J60" s="147" t="s">
        <v>213</v>
      </c>
      <c r="K60" s="148"/>
      <c r="L60" s="149"/>
      <c r="M60" s="147" t="s">
        <v>214</v>
      </c>
      <c r="N60" s="148"/>
      <c r="O60" s="149"/>
      <c r="P60" s="147" t="s">
        <v>215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216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40811</v>
      </c>
      <c r="E1" s="155"/>
      <c r="F1" s="156"/>
      <c r="G1" s="16"/>
      <c r="H1" s="24">
        <v>40816</v>
      </c>
      <c r="I1" s="17"/>
      <c r="J1" s="30"/>
      <c r="K1" s="24">
        <v>40823</v>
      </c>
      <c r="L1" s="31"/>
      <c r="M1" s="16"/>
      <c r="N1" s="24">
        <v>40832</v>
      </c>
      <c r="O1" s="17"/>
      <c r="P1" s="16"/>
      <c r="Q1" s="24">
        <v>40839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'2011年8月'!U3</f>
        <v>91.4576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-16.3636*G3</f>
        <v>-16.3636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-18.666*M3</f>
        <v>-18.666</v>
      </c>
      <c r="P3" s="90">
        <v>1</v>
      </c>
      <c r="Q3" s="99">
        <v>80</v>
      </c>
      <c r="R3" s="52">
        <f>-18.75*P3</f>
        <v>-18.75</v>
      </c>
      <c r="S3" s="50"/>
      <c r="T3" s="53"/>
      <c r="U3" s="77">
        <f aca="true" t="shared" si="0" ref="U3:U34">C3+E3+F3+H3+I3+K3+L3+N3+O3+T3+Q3+R3</f>
        <v>84.6224</v>
      </c>
      <c r="W3" s="89"/>
    </row>
    <row r="4" spans="1:23" ht="12.75">
      <c r="A4" s="2">
        <v>2</v>
      </c>
      <c r="B4" s="76" t="s">
        <v>3</v>
      </c>
      <c r="C4" s="49">
        <f>'2011年8月'!U4</f>
        <v>68.291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>
        <f aca="true" t="shared" si="2" ref="I4:I53">-16.3636*G4</f>
        <v>0</v>
      </c>
      <c r="J4" s="50"/>
      <c r="K4" s="51"/>
      <c r="L4" s="52">
        <f aca="true" t="shared" si="3" ref="L4:L53">-16.6667*J4</f>
        <v>0</v>
      </c>
      <c r="M4" s="50"/>
      <c r="N4" s="51"/>
      <c r="O4" s="52">
        <f aca="true" t="shared" si="4" ref="O4:O53">-18.666*M4</f>
        <v>0</v>
      </c>
      <c r="P4" s="90"/>
      <c r="Q4" s="99"/>
      <c r="R4" s="52">
        <f aca="true" t="shared" si="5" ref="R4:R53">-18.75*P4</f>
        <v>0</v>
      </c>
      <c r="S4" s="54"/>
      <c r="T4" s="53"/>
      <c r="U4" s="77">
        <f t="shared" si="0"/>
        <v>51.9021</v>
      </c>
      <c r="W4" s="89"/>
    </row>
    <row r="5" spans="1:23" ht="12.75">
      <c r="A5" s="2">
        <v>3</v>
      </c>
      <c r="B5" s="78" t="s">
        <v>217</v>
      </c>
      <c r="C5" s="49">
        <f>'2011年8月'!U5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218</v>
      </c>
      <c r="C6" s="55">
        <f>'2011年8月'!U6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219</v>
      </c>
      <c r="C7" s="55">
        <f>'2011年8月'!U7</f>
        <v>-31.7421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>
        <v>1</v>
      </c>
      <c r="Q7" s="101">
        <v>100</v>
      </c>
      <c r="R7" s="58">
        <f t="shared" si="5"/>
        <v>-18.75</v>
      </c>
      <c r="S7" s="56"/>
      <c r="T7" s="59"/>
      <c r="U7" s="77">
        <f t="shared" si="0"/>
        <v>49.50790000000001</v>
      </c>
      <c r="W7" s="89"/>
    </row>
    <row r="8" spans="1:23" ht="12.75">
      <c r="A8" s="2">
        <v>6</v>
      </c>
      <c r="B8" s="79" t="s">
        <v>220</v>
      </c>
      <c r="C8" s="55">
        <f>'2011年8月'!U8</f>
        <v>100.4105</v>
      </c>
      <c r="D8" s="56">
        <v>1</v>
      </c>
      <c r="E8" s="57"/>
      <c r="F8" s="58">
        <f t="shared" si="1"/>
        <v>-16.3889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-18.666</v>
      </c>
      <c r="P8" s="92"/>
      <c r="Q8" s="101"/>
      <c r="R8" s="58">
        <f t="shared" si="5"/>
        <v>0</v>
      </c>
      <c r="S8" s="60"/>
      <c r="T8" s="59"/>
      <c r="U8" s="77">
        <f t="shared" si="0"/>
        <v>48.68890000000002</v>
      </c>
      <c r="W8" s="89"/>
    </row>
    <row r="9" spans="1:23" ht="12.75">
      <c r="A9" s="2">
        <v>7</v>
      </c>
      <c r="B9" s="82"/>
      <c r="C9" s="67">
        <f>'2011年8月'!U9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221</v>
      </c>
      <c r="C10" s="67">
        <f>'2011年8月'!U10</f>
        <v>16.387799999999988</v>
      </c>
      <c r="D10" s="72">
        <v>1</v>
      </c>
      <c r="E10" s="69"/>
      <c r="F10" s="70">
        <f t="shared" si="1"/>
        <v>-16.3889</v>
      </c>
      <c r="G10" s="72"/>
      <c r="H10" s="69"/>
      <c r="I10" s="70">
        <f t="shared" si="2"/>
        <v>0</v>
      </c>
      <c r="J10" s="72">
        <v>1</v>
      </c>
      <c r="K10" s="69">
        <v>100</v>
      </c>
      <c r="L10" s="70">
        <f t="shared" si="3"/>
        <v>-16.6667</v>
      </c>
      <c r="M10" s="72">
        <v>1</v>
      </c>
      <c r="N10" s="69"/>
      <c r="O10" s="70">
        <f t="shared" si="4"/>
        <v>-18.666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45.9162</v>
      </c>
      <c r="W10" s="89"/>
    </row>
    <row r="11" spans="1:23" ht="12.75">
      <c r="A11" s="2">
        <v>9</v>
      </c>
      <c r="B11" s="82" t="s">
        <v>222</v>
      </c>
      <c r="C11" s="67">
        <f>'2011年8月'!U11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223</v>
      </c>
      <c r="C12" s="61">
        <f>'2011年8月'!U12</f>
        <v>22.141299999999966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5"/>
      <c r="Q12" s="104"/>
      <c r="R12" s="64">
        <f t="shared" si="5"/>
        <v>0</v>
      </c>
      <c r="S12" s="62"/>
      <c r="T12" s="66"/>
      <c r="U12" s="77">
        <f t="shared" si="0"/>
        <v>5.752399999999966</v>
      </c>
      <c r="W12" s="89"/>
    </row>
    <row r="13" spans="1:23" ht="12.75">
      <c r="A13" s="2">
        <v>11</v>
      </c>
      <c r="B13" s="80"/>
      <c r="C13" s="61">
        <f>'2011年8月'!U13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224</v>
      </c>
      <c r="C14" s="61">
        <f>'2011年8月'!U14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225</v>
      </c>
      <c r="C15" s="43">
        <f>'2011年8月'!U15</f>
        <v>81.14519999999999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-16.3636</v>
      </c>
      <c r="J15" s="44">
        <v>1</v>
      </c>
      <c r="K15" s="45">
        <v>100</v>
      </c>
      <c r="L15" s="46">
        <f t="shared" si="3"/>
        <v>-16.6667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-18.75</v>
      </c>
      <c r="S15" s="48"/>
      <c r="T15" s="47"/>
      <c r="U15" s="77">
        <f t="shared" si="0"/>
        <v>129.36489999999998</v>
      </c>
      <c r="W15" s="89"/>
    </row>
    <row r="16" spans="1:23" ht="12.75">
      <c r="A16" s="2">
        <v>14</v>
      </c>
      <c r="B16" s="81" t="s">
        <v>226</v>
      </c>
      <c r="C16" s="43">
        <f>'2011年8月'!U16</f>
        <v>-12.398000000000007</v>
      </c>
      <c r="D16" s="44">
        <v>1</v>
      </c>
      <c r="E16" s="45">
        <v>100</v>
      </c>
      <c r="F16" s="46">
        <f t="shared" si="1"/>
        <v>-16.3889</v>
      </c>
      <c r="G16" s="44">
        <v>1</v>
      </c>
      <c r="H16" s="45"/>
      <c r="I16" s="46">
        <f t="shared" si="2"/>
        <v>-16.3636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-18.666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0.7667999999999928</v>
      </c>
      <c r="W16" s="89"/>
    </row>
    <row r="17" spans="1:23" ht="12.75">
      <c r="A17" s="2">
        <v>15</v>
      </c>
      <c r="B17" s="81" t="s">
        <v>227</v>
      </c>
      <c r="C17" s="43">
        <f>'2011年8月'!U17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228</v>
      </c>
      <c r="C18" s="49">
        <f>'2011年8月'!U18</f>
        <v>14.565699999999978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-16.3636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-18.75</v>
      </c>
      <c r="S18" s="50"/>
      <c r="T18" s="53"/>
      <c r="U18" s="77">
        <f t="shared" si="0"/>
        <v>-20.547900000000023</v>
      </c>
      <c r="W18" s="89"/>
    </row>
    <row r="19" spans="1:23" ht="12.75">
      <c r="A19" s="2">
        <v>17</v>
      </c>
      <c r="B19" s="78" t="s">
        <v>229</v>
      </c>
      <c r="C19" s="49">
        <f>'2011年8月'!U19</f>
        <v>44.53009999999999</v>
      </c>
      <c r="D19" s="50">
        <v>1</v>
      </c>
      <c r="E19" s="51"/>
      <c r="F19" s="52">
        <f t="shared" si="1"/>
        <v>-16.3889</v>
      </c>
      <c r="G19" s="50"/>
      <c r="H19" s="51"/>
      <c r="I19" s="52">
        <f t="shared" si="2"/>
        <v>0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-18.666</v>
      </c>
      <c r="P19" s="90">
        <v>1</v>
      </c>
      <c r="Q19" s="99">
        <v>100</v>
      </c>
      <c r="R19" s="52">
        <f t="shared" si="5"/>
        <v>-18.75</v>
      </c>
      <c r="S19" s="54"/>
      <c r="T19" s="53"/>
      <c r="U19" s="77">
        <f t="shared" si="0"/>
        <v>74.0585</v>
      </c>
      <c r="W19" s="89"/>
    </row>
    <row r="20" spans="1:23" ht="12.75">
      <c r="A20" s="2">
        <v>18</v>
      </c>
      <c r="B20" s="78" t="s">
        <v>230</v>
      </c>
      <c r="C20" s="49">
        <f>'2011年8月'!U20</f>
        <v>55.6696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39.002900000000004</v>
      </c>
      <c r="W20" s="89"/>
    </row>
    <row r="21" spans="1:23" ht="12.75">
      <c r="A21" s="2">
        <v>19</v>
      </c>
      <c r="B21" s="79" t="s">
        <v>231</v>
      </c>
      <c r="C21" s="55">
        <f>'2011年8月'!U21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232</v>
      </c>
      <c r="C22" s="55">
        <f>'2011年8月'!U22</f>
        <v>52.97410000000002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2</v>
      </c>
      <c r="K22" s="57"/>
      <c r="L22" s="58">
        <f t="shared" si="3"/>
        <v>-33.3334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19.640700000000024</v>
      </c>
      <c r="W22" s="89"/>
    </row>
    <row r="23" spans="1:23" ht="12.75">
      <c r="A23" s="2">
        <v>21</v>
      </c>
      <c r="B23" s="79" t="s">
        <v>233</v>
      </c>
      <c r="C23" s="55">
        <f>'2011年8月'!U23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234</v>
      </c>
      <c r="C24" s="67">
        <f>'2011年8月'!U24</f>
        <v>66.94519999999999</v>
      </c>
      <c r="D24" s="68">
        <v>1</v>
      </c>
      <c r="E24" s="69"/>
      <c r="F24" s="70">
        <f t="shared" si="1"/>
        <v>-16.3889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50.556299999999986</v>
      </c>
      <c r="W24" s="89"/>
    </row>
    <row r="25" spans="1:23" ht="12.75">
      <c r="A25" s="2">
        <v>23</v>
      </c>
      <c r="B25" s="82" t="s">
        <v>235</v>
      </c>
      <c r="C25" s="67">
        <f>'2011年8月'!U25</f>
        <v>58.784400000000005</v>
      </c>
      <c r="D25" s="68">
        <v>1</v>
      </c>
      <c r="E25" s="69"/>
      <c r="F25" s="70">
        <f t="shared" si="1"/>
        <v>-16.3889</v>
      </c>
      <c r="G25" s="68">
        <v>1</v>
      </c>
      <c r="H25" s="69"/>
      <c r="I25" s="70">
        <f t="shared" si="2"/>
        <v>-16.3636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-18.666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-11.384099999999997</v>
      </c>
      <c r="W25" s="89"/>
    </row>
    <row r="26" spans="1:23" ht="12.75">
      <c r="A26" s="2">
        <v>24</v>
      </c>
      <c r="B26" s="82" t="s">
        <v>236</v>
      </c>
      <c r="C26" s="67">
        <f>'2011年8月'!U26</f>
        <v>28.896799999999995</v>
      </c>
      <c r="D26" s="68">
        <v>1</v>
      </c>
      <c r="E26" s="69"/>
      <c r="F26" s="70">
        <f t="shared" si="1"/>
        <v>-16.3889</v>
      </c>
      <c r="G26" s="68">
        <v>1</v>
      </c>
      <c r="H26" s="69">
        <v>100</v>
      </c>
      <c r="I26" s="70">
        <f t="shared" si="2"/>
        <v>-16.3636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-18.666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42.0616</v>
      </c>
      <c r="W26" s="89"/>
    </row>
    <row r="27" spans="1:23" ht="12.75">
      <c r="A27" s="2">
        <v>25</v>
      </c>
      <c r="B27" s="80" t="s">
        <v>237</v>
      </c>
      <c r="C27" s="61">
        <f>'2011年8月'!U27</f>
        <v>1.3453000000000106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v>-1.3453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238</v>
      </c>
      <c r="C28" s="61">
        <f>'2011年8月'!U28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f>'2011年8月'!U29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239</v>
      </c>
      <c r="C30" s="43">
        <f>'2011年8月'!U30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f>'2011年8月'!U31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240</v>
      </c>
      <c r="C32" s="43">
        <f>'2011年8月'!U32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241</v>
      </c>
      <c r="C33" s="49">
        <f>'2011年8月'!U33</f>
        <v>95.62789999999998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-18.666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58.211899999999986</v>
      </c>
      <c r="W33" s="89"/>
    </row>
    <row r="34" spans="1:23" ht="12.75">
      <c r="A34" s="2">
        <v>32</v>
      </c>
      <c r="B34" s="78" t="s">
        <v>242</v>
      </c>
      <c r="C34" s="49">
        <f>'2011年8月'!U34</f>
        <v>82.21449999999993</v>
      </c>
      <c r="D34" s="50">
        <v>1</v>
      </c>
      <c r="E34" s="51">
        <v>200</v>
      </c>
      <c r="F34" s="52">
        <f t="shared" si="1"/>
        <v>-16.3889</v>
      </c>
      <c r="G34" s="88">
        <v>1</v>
      </c>
      <c r="H34" s="51"/>
      <c r="I34" s="52">
        <f t="shared" si="2"/>
        <v>-16.3636</v>
      </c>
      <c r="J34" s="88">
        <v>1</v>
      </c>
      <c r="K34" s="51"/>
      <c r="L34" s="52">
        <f t="shared" si="3"/>
        <v>-16.6667</v>
      </c>
      <c r="M34" s="50">
        <v>1</v>
      </c>
      <c r="N34" s="51"/>
      <c r="O34" s="52">
        <f t="shared" si="4"/>
        <v>-18.666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195.37929999999997</v>
      </c>
      <c r="W34" s="89"/>
    </row>
    <row r="35" spans="1:23" ht="12.75">
      <c r="A35" s="2">
        <v>33</v>
      </c>
      <c r="B35" s="78" t="s">
        <v>243</v>
      </c>
      <c r="C35" s="49">
        <f>'2011年8月'!U35</f>
        <v>34.26309999999998</v>
      </c>
      <c r="D35" s="50">
        <v>1</v>
      </c>
      <c r="E35" s="51"/>
      <c r="F35" s="52">
        <f t="shared" si="1"/>
        <v>-16.3889</v>
      </c>
      <c r="G35" s="50">
        <v>1</v>
      </c>
      <c r="H35" s="51">
        <v>100</v>
      </c>
      <c r="I35" s="52">
        <f t="shared" si="2"/>
        <v>-16.3636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-18.666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47.427899999999966</v>
      </c>
      <c r="W35" s="89"/>
    </row>
    <row r="36" spans="1:23" ht="12.75">
      <c r="A36" s="2">
        <v>34</v>
      </c>
      <c r="B36" s="79"/>
      <c r="C36" s="55">
        <f>'2011年8月'!U36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'2011年8月'!U37</f>
        <v>114.08719999999997</v>
      </c>
      <c r="D37" s="56">
        <v>1</v>
      </c>
      <c r="E37" s="57"/>
      <c r="F37" s="58">
        <f t="shared" si="1"/>
        <v>-16.3889</v>
      </c>
      <c r="G37" s="56">
        <v>1</v>
      </c>
      <c r="H37" s="57"/>
      <c r="I37" s="58">
        <f t="shared" si="2"/>
        <v>-16.3636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-18.666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27.251999999999953</v>
      </c>
      <c r="V37" s="28"/>
      <c r="W37" s="89"/>
    </row>
    <row r="38" spans="1:23" ht="12.75">
      <c r="A38" s="2">
        <v>36</v>
      </c>
      <c r="B38" s="79" t="s">
        <v>244</v>
      </c>
      <c r="C38" s="55">
        <f>'2011年8月'!U38</f>
        <v>94.62550000000002</v>
      </c>
      <c r="D38" s="56">
        <v>1</v>
      </c>
      <c r="E38" s="57"/>
      <c r="F38" s="58">
        <f t="shared" si="1"/>
        <v>-16.3889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-16.6667</v>
      </c>
      <c r="M38" s="56">
        <v>1</v>
      </c>
      <c r="N38" s="57"/>
      <c r="O38" s="58">
        <f t="shared" si="4"/>
        <v>-18.666</v>
      </c>
      <c r="P38" s="92">
        <v>1</v>
      </c>
      <c r="Q38" s="101"/>
      <c r="R38" s="58">
        <f t="shared" si="5"/>
        <v>-18.75</v>
      </c>
      <c r="S38" s="60"/>
      <c r="T38" s="59"/>
      <c r="U38" s="77">
        <f t="shared" si="6"/>
        <v>24.153900000000007</v>
      </c>
      <c r="W38" s="89"/>
    </row>
    <row r="39" spans="1:23" ht="12.75">
      <c r="A39" s="2">
        <v>37</v>
      </c>
      <c r="B39" s="82"/>
      <c r="C39" s="67">
        <f>'2011年8月'!U39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'2011年8月'!U42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245</v>
      </c>
      <c r="C43" s="61">
        <f>'2011年8月'!U43</f>
        <v>-47.198</v>
      </c>
      <c r="D43" s="65">
        <v>1</v>
      </c>
      <c r="E43" s="74">
        <v>100</v>
      </c>
      <c r="F43" s="64">
        <f t="shared" si="1"/>
        <v>-16.3889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-18.666</v>
      </c>
      <c r="P43" s="97"/>
      <c r="Q43" s="106"/>
      <c r="R43" s="64">
        <f t="shared" si="5"/>
        <v>0</v>
      </c>
      <c r="S43" s="65"/>
      <c r="T43" s="66"/>
      <c r="U43" s="77">
        <f t="shared" si="6"/>
        <v>17.7471</v>
      </c>
      <c r="W43" s="89"/>
    </row>
    <row r="44" spans="1:23" ht="12.75">
      <c r="A44" s="2">
        <v>42</v>
      </c>
      <c r="B44" s="80" t="s">
        <v>246</v>
      </c>
      <c r="C44" s="61">
        <f>'2011年8月'!U44</f>
        <v>15.60479999999998</v>
      </c>
      <c r="D44" s="65">
        <v>1</v>
      </c>
      <c r="E44" s="74">
        <v>100</v>
      </c>
      <c r="F44" s="64">
        <f t="shared" si="1"/>
        <v>-16.3889</v>
      </c>
      <c r="G44" s="65">
        <v>1</v>
      </c>
      <c r="H44" s="74"/>
      <c r="I44" s="64">
        <f t="shared" si="2"/>
        <v>-16.3636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-18.666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28.76959999999997</v>
      </c>
      <c r="W44" s="89"/>
    </row>
    <row r="45" spans="1:23" ht="12.75">
      <c r="A45" s="2">
        <v>43</v>
      </c>
      <c r="B45" s="81"/>
      <c r="C45" s="43">
        <f>'2011年8月'!U45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'2011年8月'!U46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247</v>
      </c>
      <c r="C47" s="43">
        <f>'2011年8月'!U47</f>
        <v>89.76599999999999</v>
      </c>
      <c r="D47" s="48">
        <v>1</v>
      </c>
      <c r="E47" s="75"/>
      <c r="F47" s="46">
        <f t="shared" si="1"/>
        <v>-16.3889</v>
      </c>
      <c r="G47" s="48">
        <v>1</v>
      </c>
      <c r="H47" s="75"/>
      <c r="I47" s="46">
        <f t="shared" si="2"/>
        <v>-16.3636</v>
      </c>
      <c r="J47" s="48">
        <v>1</v>
      </c>
      <c r="K47" s="75"/>
      <c r="L47" s="46">
        <f t="shared" si="3"/>
        <v>-16.6667</v>
      </c>
      <c r="M47" s="48">
        <v>1</v>
      </c>
      <c r="N47" s="75"/>
      <c r="O47" s="46">
        <f t="shared" si="4"/>
        <v>-18.666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2.93079999999998</v>
      </c>
      <c r="W47" s="89"/>
    </row>
    <row r="48" spans="1:23" ht="12.75">
      <c r="A48" s="2">
        <v>46</v>
      </c>
      <c r="B48" s="78"/>
      <c r="C48" s="49">
        <f>'2011年8月'!U48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'2011年8月'!U49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'2011年8月'!U50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'2011年8月'!U51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248</v>
      </c>
      <c r="C52" s="55">
        <f>'2011年8月'!U52</f>
        <v>8.163099999999995</v>
      </c>
      <c r="D52" s="60">
        <v>1</v>
      </c>
      <c r="E52" s="73"/>
      <c r="F52" s="58">
        <f>-16.3889*D52-5</f>
        <v>-21.3889</v>
      </c>
      <c r="G52" s="60"/>
      <c r="H52" s="73"/>
      <c r="I52" s="58">
        <f t="shared" si="2"/>
        <v>0</v>
      </c>
      <c r="J52" s="60">
        <v>2</v>
      </c>
      <c r="K52" s="73"/>
      <c r="L52" s="58">
        <f t="shared" si="3"/>
        <v>-33.3334</v>
      </c>
      <c r="M52" s="60">
        <v>1</v>
      </c>
      <c r="N52" s="73"/>
      <c r="O52" s="58">
        <f t="shared" si="4"/>
        <v>-18.666</v>
      </c>
      <c r="P52" s="60"/>
      <c r="Q52" s="73"/>
      <c r="R52" s="58">
        <f t="shared" si="5"/>
        <v>0</v>
      </c>
      <c r="S52" s="56"/>
      <c r="T52" s="59"/>
      <c r="U52" s="77">
        <f t="shared" si="6"/>
        <v>-65.2252</v>
      </c>
      <c r="W52" s="89"/>
    </row>
    <row r="53" spans="1:23" ht="12.75">
      <c r="A53" s="2">
        <v>51</v>
      </c>
      <c r="B53" s="87"/>
      <c r="C53" s="55">
        <f>'2011年8月'!U53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18</v>
      </c>
      <c r="F55" s="1">
        <f>E66/D55</f>
        <v>16.38888888888889</v>
      </c>
      <c r="G55" s="1">
        <f>SUM(G3:G53)</f>
        <v>11</v>
      </c>
      <c r="I55" s="1">
        <f>H66/G55</f>
        <v>16.363636363636363</v>
      </c>
      <c r="J55" s="1">
        <f>SUM(J3:J53)</f>
        <v>18</v>
      </c>
      <c r="L55" s="1">
        <f>K66/J55</f>
        <v>16.666666666666668</v>
      </c>
      <c r="M55" s="1">
        <f>SUM(M3:M53)</f>
        <v>16</v>
      </c>
      <c r="O55" s="1">
        <f>N66/M55</f>
        <v>18.75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249</v>
      </c>
      <c r="F56" s="34" t="s">
        <v>250</v>
      </c>
      <c r="G56" s="33" t="s">
        <v>249</v>
      </c>
      <c r="I56" s="34" t="s">
        <v>250</v>
      </c>
      <c r="J56" s="33" t="s">
        <v>249</v>
      </c>
      <c r="L56" s="34" t="s">
        <v>250</v>
      </c>
      <c r="M56" s="33" t="s">
        <v>249</v>
      </c>
      <c r="O56" s="34" t="s">
        <v>250</v>
      </c>
      <c r="P56" s="33" t="s">
        <v>249</v>
      </c>
      <c r="R56" s="34" t="s">
        <v>250</v>
      </c>
    </row>
    <row r="57" spans="5:21" ht="12.75">
      <c r="E57" s="28" t="s">
        <v>251</v>
      </c>
      <c r="F57" s="1">
        <f>SUM(F3:F53)</f>
        <v>-300.0002</v>
      </c>
      <c r="H57" s="28" t="s">
        <v>251</v>
      </c>
      <c r="I57" s="1">
        <f>SUM(I3:I53)</f>
        <v>-179.9996</v>
      </c>
      <c r="K57" s="28" t="s">
        <v>251</v>
      </c>
      <c r="L57" s="1">
        <f>SUM(L3:L53)</f>
        <v>-300.0005999999999</v>
      </c>
      <c r="N57" s="28" t="s">
        <v>251</v>
      </c>
      <c r="O57" s="1">
        <f>SUM(O3:O53)</f>
        <v>-300.0013</v>
      </c>
      <c r="Q57" s="28" t="s">
        <v>251</v>
      </c>
      <c r="R57" s="1">
        <f>SUM(R3:R53)</f>
        <v>-300</v>
      </c>
      <c r="U57" s="19"/>
    </row>
    <row r="58" spans="2:21" ht="12.75">
      <c r="B58" s="29" t="s">
        <v>252</v>
      </c>
      <c r="C58" s="27">
        <f>SUM(C3:C53)</f>
        <v>1400.0048999999997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1200.0031999999997</v>
      </c>
      <c r="W59" s="89">
        <f>U59</f>
        <v>1200.0031999999997</v>
      </c>
    </row>
    <row r="60" spans="4:20" ht="12.75" customHeight="1">
      <c r="D60" s="147" t="s">
        <v>258</v>
      </c>
      <c r="E60" s="148"/>
      <c r="F60" s="149"/>
      <c r="G60" s="147" t="s">
        <v>260</v>
      </c>
      <c r="H60" s="148"/>
      <c r="I60" s="149"/>
      <c r="J60" s="147" t="s">
        <v>261</v>
      </c>
      <c r="K60" s="148"/>
      <c r="L60" s="149"/>
      <c r="M60" s="147" t="s">
        <v>263</v>
      </c>
      <c r="N60" s="148"/>
      <c r="O60" s="149"/>
      <c r="P60" s="147" t="s">
        <v>264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253</v>
      </c>
      <c r="E66" s="36">
        <f>E68-E84-E93</f>
        <v>295</v>
      </c>
      <c r="F66" s="37"/>
      <c r="G66" s="38" t="s">
        <v>253</v>
      </c>
      <c r="H66" s="36">
        <f>H68-H84-H93</f>
        <v>180</v>
      </c>
      <c r="I66" s="37"/>
      <c r="J66" s="38" t="s">
        <v>253</v>
      </c>
      <c r="K66" s="36">
        <f>K68-K84-K93</f>
        <v>300</v>
      </c>
      <c r="L66" s="37"/>
      <c r="M66" s="38" t="s">
        <v>253</v>
      </c>
      <c r="N66" s="36">
        <f>N68-N84-N93</f>
        <v>300</v>
      </c>
      <c r="O66" s="37"/>
      <c r="P66" s="38" t="s">
        <v>253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254</v>
      </c>
      <c r="E68" s="39">
        <v>300</v>
      </c>
      <c r="F68" s="40"/>
      <c r="G68" s="85" t="s">
        <v>254</v>
      </c>
      <c r="H68" s="39">
        <v>300</v>
      </c>
      <c r="I68" s="40"/>
      <c r="J68" s="85" t="s">
        <v>254</v>
      </c>
      <c r="K68" s="39">
        <v>300</v>
      </c>
      <c r="L68" s="40"/>
      <c r="M68" s="85" t="s">
        <v>254</v>
      </c>
      <c r="N68" s="39">
        <v>300</v>
      </c>
      <c r="O68" s="40"/>
      <c r="P68" s="85" t="s">
        <v>254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259</v>
      </c>
      <c r="H77" s="145"/>
      <c r="I77" s="145"/>
      <c r="J77" s="145"/>
      <c r="K77" s="145"/>
      <c r="L77" s="145"/>
      <c r="M77" s="145" t="s">
        <v>265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255</v>
      </c>
      <c r="E80" s="142"/>
      <c r="G80" s="141" t="s">
        <v>255</v>
      </c>
      <c r="H80" s="142"/>
      <c r="J80" s="141" t="s">
        <v>255</v>
      </c>
      <c r="K80" s="142"/>
      <c r="M80" s="141" t="s">
        <v>255</v>
      </c>
      <c r="N80" s="142"/>
      <c r="P80" s="141" t="s">
        <v>255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256</v>
      </c>
      <c r="E87" s="142"/>
      <c r="G87" s="141" t="s">
        <v>256</v>
      </c>
      <c r="H87" s="142"/>
      <c r="J87" s="141" t="s">
        <v>256</v>
      </c>
      <c r="K87" s="142"/>
      <c r="M87" s="141" t="s">
        <v>256</v>
      </c>
      <c r="N87" s="142"/>
      <c r="P87" s="141" t="s">
        <v>256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104</v>
      </c>
      <c r="E89" s="1">
        <v>5</v>
      </c>
      <c r="G89" s="109"/>
      <c r="J89" s="109"/>
      <c r="M89" s="109"/>
      <c r="P89" s="109"/>
    </row>
    <row r="93" spans="5:8" ht="12.75">
      <c r="E93" s="1">
        <f>SUM(E89:E92)</f>
        <v>5</v>
      </c>
      <c r="G93" s="28" t="s">
        <v>262</v>
      </c>
      <c r="H93" s="1">
        <v>120</v>
      </c>
    </row>
    <row r="95" spans="4:18" ht="12.75" customHeight="1">
      <c r="D95" s="144" t="s">
        <v>257</v>
      </c>
      <c r="E95" s="144"/>
      <c r="F95" s="144"/>
      <c r="G95" s="144" t="s">
        <v>257</v>
      </c>
      <c r="H95" s="144"/>
      <c r="I95" s="144"/>
      <c r="J95" s="144" t="s">
        <v>257</v>
      </c>
      <c r="K95" s="144"/>
      <c r="L95" s="144"/>
      <c r="M95" s="144" t="s">
        <v>257</v>
      </c>
      <c r="N95" s="144"/>
      <c r="O95" s="144"/>
      <c r="P95" s="144" t="s">
        <v>257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133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253</v>
      </c>
      <c r="E102" s="142"/>
      <c r="F102" s="142"/>
      <c r="G102" s="143" t="s">
        <v>253</v>
      </c>
      <c r="H102" s="142"/>
      <c r="I102" s="142"/>
      <c r="J102" s="143" t="s">
        <v>253</v>
      </c>
      <c r="K102" s="142"/>
      <c r="L102" s="142"/>
      <c r="M102" s="143" t="s">
        <v>253</v>
      </c>
      <c r="N102" s="142"/>
      <c r="O102" s="142"/>
      <c r="P102" s="143" t="s">
        <v>253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40846</v>
      </c>
      <c r="E1" s="155"/>
      <c r="F1" s="156"/>
      <c r="G1" s="16"/>
      <c r="H1" s="24">
        <v>40853</v>
      </c>
      <c r="I1" s="17"/>
      <c r="J1" s="30"/>
      <c r="K1" s="24">
        <v>40860</v>
      </c>
      <c r="L1" s="31"/>
      <c r="M1" s="16"/>
      <c r="N1" s="24">
        <v>40867</v>
      </c>
      <c r="O1" s="17"/>
      <c r="P1" s="16"/>
      <c r="Q1" s="24">
        <v>40874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'2011年10月'!U3</f>
        <v>84.6224</v>
      </c>
      <c r="D3" s="50">
        <v>1</v>
      </c>
      <c r="E3" s="51"/>
      <c r="F3" s="52">
        <f>-17.647*D3</f>
        <v>-17.647</v>
      </c>
      <c r="G3" s="50">
        <v>1</v>
      </c>
      <c r="H3" s="51"/>
      <c r="I3" s="52">
        <f>-15.7895*G3</f>
        <v>-15.7895</v>
      </c>
      <c r="J3" s="50">
        <v>1</v>
      </c>
      <c r="K3" s="51"/>
      <c r="L3" s="52">
        <f>-17.647*J3</f>
        <v>-17.647</v>
      </c>
      <c r="M3" s="50">
        <v>1</v>
      </c>
      <c r="N3" s="51"/>
      <c r="O3" s="52">
        <f>-8.4286*M3</f>
        <v>-8.4286</v>
      </c>
      <c r="P3" s="90">
        <v>1</v>
      </c>
      <c r="Q3" s="99"/>
      <c r="R3" s="52">
        <f>-16.6667*P3</f>
        <v>-16.6667</v>
      </c>
      <c r="S3" s="50"/>
      <c r="T3" s="53"/>
      <c r="U3" s="77">
        <f aca="true" t="shared" si="0" ref="U3:U34">C3+E3+F3+H3+I3+K3+L3+N3+O3+T3+Q3+R3</f>
        <v>8.443600000000007</v>
      </c>
      <c r="W3" s="89"/>
    </row>
    <row r="4" spans="1:23" ht="12.75">
      <c r="A4" s="2">
        <v>2</v>
      </c>
      <c r="B4" s="76" t="s">
        <v>3</v>
      </c>
      <c r="C4" s="49">
        <f>'2011年10月'!U4</f>
        <v>51.9021</v>
      </c>
      <c r="D4" s="50">
        <v>1</v>
      </c>
      <c r="E4" s="51"/>
      <c r="F4" s="52">
        <f aca="true" t="shared" si="1" ref="F4:F53">-17.647*D4</f>
        <v>-17.647</v>
      </c>
      <c r="G4" s="50">
        <v>1</v>
      </c>
      <c r="H4" s="51"/>
      <c r="I4" s="52">
        <f aca="true" t="shared" si="2" ref="I4:I53">-15.7895*G4</f>
        <v>-15.7895</v>
      </c>
      <c r="J4" s="50">
        <v>1</v>
      </c>
      <c r="K4" s="51"/>
      <c r="L4" s="52">
        <f aca="true" t="shared" si="3" ref="L4:L53">-17.647*J4</f>
        <v>-17.647</v>
      </c>
      <c r="M4" s="50">
        <v>1</v>
      </c>
      <c r="N4" s="51"/>
      <c r="O4" s="52">
        <f aca="true" t="shared" si="4" ref="O4:O53">-8.4286*M4</f>
        <v>-8.4286</v>
      </c>
      <c r="P4" s="90">
        <v>1</v>
      </c>
      <c r="Q4" s="99">
        <v>100</v>
      </c>
      <c r="R4" s="52">
        <f aca="true" t="shared" si="5" ref="R4:R53">-16.6667*P4</f>
        <v>-16.6667</v>
      </c>
      <c r="S4" s="54"/>
      <c r="T4" s="53"/>
      <c r="U4" s="77">
        <f t="shared" si="0"/>
        <v>75.7233</v>
      </c>
      <c r="W4" s="89"/>
    </row>
    <row r="5" spans="1:23" ht="12.75">
      <c r="A5" s="2">
        <v>3</v>
      </c>
      <c r="B5" s="78" t="s">
        <v>182</v>
      </c>
      <c r="C5" s="49">
        <f>'2011年10月'!U5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-8.4286</v>
      </c>
      <c r="P5" s="90"/>
      <c r="Q5" s="99"/>
      <c r="R5" s="52">
        <f t="shared" si="5"/>
        <v>0</v>
      </c>
      <c r="S5" s="50"/>
      <c r="T5" s="53"/>
      <c r="U5" s="77">
        <f t="shared" si="0"/>
        <v>43.924499999999995</v>
      </c>
      <c r="W5" s="89"/>
    </row>
    <row r="6" spans="1:23" ht="12.75">
      <c r="A6" s="2">
        <v>4</v>
      </c>
      <c r="B6" s="79" t="s">
        <v>69</v>
      </c>
      <c r="C6" s="55">
        <f>'2011年10月'!U6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-8.4286</v>
      </c>
      <c r="P6" s="91"/>
      <c r="Q6" s="100"/>
      <c r="R6" s="58">
        <f t="shared" si="5"/>
        <v>0</v>
      </c>
      <c r="S6" s="60"/>
      <c r="T6" s="59"/>
      <c r="U6" s="77">
        <f t="shared" si="0"/>
        <v>77.4977</v>
      </c>
      <c r="W6" s="89"/>
    </row>
    <row r="7" spans="1:23" ht="12.75">
      <c r="A7" s="2">
        <v>5</v>
      </c>
      <c r="B7" s="79" t="s">
        <v>70</v>
      </c>
      <c r="C7" s="55">
        <f>'2011年10月'!U7</f>
        <v>49.50790000000001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-15.7895</v>
      </c>
      <c r="J7" s="56">
        <v>1</v>
      </c>
      <c r="K7" s="57"/>
      <c r="L7" s="58">
        <f t="shared" si="3"/>
        <v>-17.647</v>
      </c>
      <c r="M7" s="56">
        <v>1</v>
      </c>
      <c r="N7" s="57"/>
      <c r="O7" s="58">
        <f t="shared" si="4"/>
        <v>-8.4286</v>
      </c>
      <c r="P7" s="92">
        <v>1</v>
      </c>
      <c r="Q7" s="101">
        <v>100</v>
      </c>
      <c r="R7" s="58">
        <f t="shared" si="5"/>
        <v>-16.6667</v>
      </c>
      <c r="S7" s="56"/>
      <c r="T7" s="59"/>
      <c r="U7" s="77">
        <f t="shared" si="0"/>
        <v>90.9761</v>
      </c>
      <c r="W7" s="89"/>
    </row>
    <row r="8" spans="1:23" ht="12.75">
      <c r="A8" s="2">
        <v>6</v>
      </c>
      <c r="B8" s="79" t="s">
        <v>187</v>
      </c>
      <c r="C8" s="55">
        <f>'2011年10月'!U8</f>
        <v>48.68890000000002</v>
      </c>
      <c r="D8" s="56">
        <v>1</v>
      </c>
      <c r="E8" s="57"/>
      <c r="F8" s="58">
        <f t="shared" si="1"/>
        <v>-17.647</v>
      </c>
      <c r="G8" s="56">
        <v>1</v>
      </c>
      <c r="H8" s="57"/>
      <c r="I8" s="58">
        <f t="shared" si="2"/>
        <v>-15.7895</v>
      </c>
      <c r="J8" s="56">
        <v>1</v>
      </c>
      <c r="K8" s="57">
        <v>50</v>
      </c>
      <c r="L8" s="58">
        <f t="shared" si="3"/>
        <v>-17.647</v>
      </c>
      <c r="M8" s="56">
        <v>1</v>
      </c>
      <c r="N8" s="57"/>
      <c r="O8" s="58">
        <f t="shared" si="4"/>
        <v>-8.4286</v>
      </c>
      <c r="P8" s="92"/>
      <c r="Q8" s="101"/>
      <c r="R8" s="58">
        <f t="shared" si="5"/>
        <v>0</v>
      </c>
      <c r="S8" s="60"/>
      <c r="T8" s="59"/>
      <c r="U8" s="77">
        <f t="shared" si="0"/>
        <v>39.17680000000003</v>
      </c>
      <c r="W8" s="89"/>
    </row>
    <row r="9" spans="1:23" ht="12.75">
      <c r="A9" s="2">
        <v>7</v>
      </c>
      <c r="B9" s="82"/>
      <c r="C9" s="67">
        <f>'2011年10月'!U9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'2011年10月'!U10</f>
        <v>45.9162</v>
      </c>
      <c r="D10" s="72">
        <v>1</v>
      </c>
      <c r="E10" s="69"/>
      <c r="F10" s="70">
        <f t="shared" si="1"/>
        <v>-17.647</v>
      </c>
      <c r="G10" s="72">
        <v>1</v>
      </c>
      <c r="H10" s="69"/>
      <c r="I10" s="70">
        <f t="shared" si="2"/>
        <v>-15.7895</v>
      </c>
      <c r="J10" s="72">
        <v>1</v>
      </c>
      <c r="K10" s="69">
        <v>100</v>
      </c>
      <c r="L10" s="70">
        <f t="shared" si="3"/>
        <v>-17.647</v>
      </c>
      <c r="M10" s="72">
        <v>1</v>
      </c>
      <c r="N10" s="69"/>
      <c r="O10" s="70">
        <f>-8.4286*M10-5</f>
        <v>-13.4286</v>
      </c>
      <c r="P10" s="94">
        <v>1</v>
      </c>
      <c r="Q10" s="103"/>
      <c r="R10" s="70">
        <f t="shared" si="5"/>
        <v>-16.6667</v>
      </c>
      <c r="S10" s="72"/>
      <c r="T10" s="71"/>
      <c r="U10" s="77">
        <f t="shared" si="0"/>
        <v>64.73740000000001</v>
      </c>
      <c r="W10" s="89"/>
    </row>
    <row r="11" spans="1:23" ht="12.75">
      <c r="A11" s="2">
        <v>9</v>
      </c>
      <c r="B11" s="82" t="s">
        <v>130</v>
      </c>
      <c r="C11" s="67">
        <f>'2011年10月'!U11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-8.4286</v>
      </c>
      <c r="P11" s="93"/>
      <c r="Q11" s="102"/>
      <c r="R11" s="70">
        <f t="shared" si="5"/>
        <v>0</v>
      </c>
      <c r="S11" s="68"/>
      <c r="T11" s="71"/>
      <c r="U11" s="77">
        <f t="shared" si="0"/>
        <v>-25.334300000000002</v>
      </c>
      <c r="W11" s="89"/>
    </row>
    <row r="12" spans="1:23" ht="12.75">
      <c r="A12" s="2">
        <v>10</v>
      </c>
      <c r="B12" s="80" t="s">
        <v>74</v>
      </c>
      <c r="C12" s="61">
        <f>'2011年10月'!U12</f>
        <v>5.752399999999966</v>
      </c>
      <c r="D12" s="62">
        <v>2</v>
      </c>
      <c r="E12" s="63">
        <v>100</v>
      </c>
      <c r="F12" s="64">
        <f t="shared" si="1"/>
        <v>-35.294</v>
      </c>
      <c r="G12" s="62">
        <v>3</v>
      </c>
      <c r="H12" s="63"/>
      <c r="I12" s="64">
        <f t="shared" si="2"/>
        <v>-47.3685</v>
      </c>
      <c r="J12" s="62"/>
      <c r="K12" s="63"/>
      <c r="L12" s="64">
        <f t="shared" si="3"/>
        <v>0</v>
      </c>
      <c r="M12" s="62">
        <v>2</v>
      </c>
      <c r="N12" s="63">
        <v>100</v>
      </c>
      <c r="O12" s="64">
        <f t="shared" si="4"/>
        <v>-16.8572</v>
      </c>
      <c r="P12" s="95">
        <v>1</v>
      </c>
      <c r="Q12" s="104"/>
      <c r="R12" s="64">
        <f t="shared" si="5"/>
        <v>-16.6667</v>
      </c>
      <c r="S12" s="62"/>
      <c r="T12" s="66"/>
      <c r="U12" s="77">
        <f t="shared" si="0"/>
        <v>89.56599999999997</v>
      </c>
      <c r="W12" s="89"/>
    </row>
    <row r="13" spans="1:23" ht="12.75">
      <c r="A13" s="2">
        <v>11</v>
      </c>
      <c r="B13" s="80"/>
      <c r="C13" s="61">
        <f>'2011年10月'!U13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'2011年10月'!U14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-8.4286</v>
      </c>
      <c r="P14" s="95"/>
      <c r="Q14" s="104"/>
      <c r="R14" s="64">
        <f t="shared" si="5"/>
        <v>0</v>
      </c>
      <c r="S14" s="62"/>
      <c r="T14" s="66"/>
      <c r="U14" s="77">
        <f t="shared" si="0"/>
        <v>67.82220000000001</v>
      </c>
      <c r="W14" s="89"/>
    </row>
    <row r="15" spans="1:23" ht="12.75">
      <c r="A15" s="2">
        <v>13</v>
      </c>
      <c r="B15" s="81" t="s">
        <v>77</v>
      </c>
      <c r="C15" s="43">
        <f>'2011年10月'!U15</f>
        <v>129.36489999999998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-8.4286</v>
      </c>
      <c r="P15" s="96"/>
      <c r="Q15" s="105"/>
      <c r="R15" s="46">
        <f t="shared" si="5"/>
        <v>0</v>
      </c>
      <c r="S15" s="48"/>
      <c r="T15" s="47"/>
      <c r="U15" s="77">
        <f t="shared" si="0"/>
        <v>120.93629999999997</v>
      </c>
      <c r="W15" s="89"/>
    </row>
    <row r="16" spans="1:23" ht="12.75">
      <c r="A16" s="2">
        <v>14</v>
      </c>
      <c r="B16" s="81" t="s">
        <v>133</v>
      </c>
      <c r="C16" s="43">
        <f>'2011年10月'!U16</f>
        <v>0.7667999999999928</v>
      </c>
      <c r="D16" s="44">
        <v>1</v>
      </c>
      <c r="E16" s="45">
        <v>100</v>
      </c>
      <c r="F16" s="46">
        <f t="shared" si="1"/>
        <v>-17.647</v>
      </c>
      <c r="G16" s="44">
        <v>1</v>
      </c>
      <c r="H16" s="45"/>
      <c r="I16" s="46">
        <f t="shared" si="2"/>
        <v>-15.7895</v>
      </c>
      <c r="J16" s="44">
        <v>1</v>
      </c>
      <c r="K16" s="45"/>
      <c r="L16" s="46">
        <f t="shared" si="3"/>
        <v>-17.647</v>
      </c>
      <c r="M16" s="44">
        <v>1</v>
      </c>
      <c r="N16" s="45"/>
      <c r="O16" s="46">
        <f t="shared" si="4"/>
        <v>-8.4286</v>
      </c>
      <c r="P16" s="96">
        <v>1</v>
      </c>
      <c r="Q16" s="105"/>
      <c r="R16" s="46">
        <f t="shared" si="5"/>
        <v>-16.6667</v>
      </c>
      <c r="S16" s="44"/>
      <c r="T16" s="47"/>
      <c r="U16" s="77">
        <f t="shared" si="0"/>
        <v>24.588</v>
      </c>
      <c r="W16" s="89"/>
    </row>
    <row r="17" spans="1:23" ht="12.75">
      <c r="A17" s="2">
        <v>15</v>
      </c>
      <c r="B17" s="81" t="s">
        <v>184</v>
      </c>
      <c r="C17" s="43">
        <f>'2011年10月'!U17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-8.4286</v>
      </c>
      <c r="P17" s="96"/>
      <c r="Q17" s="105"/>
      <c r="R17" s="46">
        <f t="shared" si="5"/>
        <v>0</v>
      </c>
      <c r="S17" s="48"/>
      <c r="T17" s="47"/>
      <c r="U17" s="77">
        <f t="shared" si="0"/>
        <v>40.8206</v>
      </c>
      <c r="W17" s="89"/>
    </row>
    <row r="18" spans="1:23" ht="12.75">
      <c r="A18" s="2">
        <v>16</v>
      </c>
      <c r="B18" s="78" t="s">
        <v>79</v>
      </c>
      <c r="C18" s="49">
        <f>'2011年10月'!U18</f>
        <v>-20.547900000000023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-8.4286</v>
      </c>
      <c r="P18" s="90"/>
      <c r="Q18" s="99"/>
      <c r="R18" s="52">
        <f t="shared" si="5"/>
        <v>0</v>
      </c>
      <c r="S18" s="50"/>
      <c r="T18" s="53"/>
      <c r="U18" s="77">
        <f t="shared" si="0"/>
        <v>-28.976500000000023</v>
      </c>
      <c r="W18" s="89"/>
    </row>
    <row r="19" spans="1:23" ht="12.75">
      <c r="A19" s="2">
        <v>17</v>
      </c>
      <c r="B19" s="78" t="s">
        <v>67</v>
      </c>
      <c r="C19" s="49">
        <f>'2011年10月'!U19</f>
        <v>74.0585</v>
      </c>
      <c r="D19" s="50">
        <v>1</v>
      </c>
      <c r="E19" s="51"/>
      <c r="F19" s="52">
        <f t="shared" si="1"/>
        <v>-17.647</v>
      </c>
      <c r="G19" s="50">
        <v>1</v>
      </c>
      <c r="H19" s="51"/>
      <c r="I19" s="52">
        <f t="shared" si="2"/>
        <v>-15.7895</v>
      </c>
      <c r="J19" s="50">
        <v>1</v>
      </c>
      <c r="K19" s="51"/>
      <c r="L19" s="52">
        <f t="shared" si="3"/>
        <v>-17.647</v>
      </c>
      <c r="M19" s="50">
        <v>1</v>
      </c>
      <c r="N19" s="51"/>
      <c r="O19" s="52">
        <f t="shared" si="4"/>
        <v>-8.4286</v>
      </c>
      <c r="P19" s="90">
        <v>1</v>
      </c>
      <c r="Q19" s="99"/>
      <c r="R19" s="52">
        <f t="shared" si="5"/>
        <v>-16.6667</v>
      </c>
      <c r="S19" s="54"/>
      <c r="T19" s="53"/>
      <c r="U19" s="77">
        <f t="shared" si="0"/>
        <v>-2.1202999999999967</v>
      </c>
      <c r="W19" s="89"/>
    </row>
    <row r="20" spans="1:23" ht="12.75">
      <c r="A20" s="2">
        <v>18</v>
      </c>
      <c r="B20" s="78" t="s">
        <v>134</v>
      </c>
      <c r="C20" s="49">
        <f>'2011年10月'!U20</f>
        <v>39.002900000000004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 t="shared" si="4"/>
        <v>-8.4286</v>
      </c>
      <c r="P20" s="90"/>
      <c r="Q20" s="99"/>
      <c r="R20" s="52">
        <f t="shared" si="5"/>
        <v>0</v>
      </c>
      <c r="S20" s="50"/>
      <c r="T20" s="53"/>
      <c r="U20" s="77">
        <f t="shared" si="0"/>
        <v>30.574300000000004</v>
      </c>
      <c r="W20" s="89"/>
    </row>
    <row r="21" spans="1:23" ht="12.75">
      <c r="A21" s="2">
        <v>19</v>
      </c>
      <c r="B21" s="79" t="s">
        <v>82</v>
      </c>
      <c r="C21" s="55">
        <f>'2011年10月'!U21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-8.4286</v>
      </c>
      <c r="P21" s="92"/>
      <c r="Q21" s="101"/>
      <c r="R21" s="58">
        <f t="shared" si="5"/>
        <v>0</v>
      </c>
      <c r="S21" s="60"/>
      <c r="T21" s="59"/>
      <c r="U21" s="77">
        <f t="shared" si="0"/>
        <v>-1.9511000000000216</v>
      </c>
      <c r="W21" s="89"/>
    </row>
    <row r="22" spans="1:23" ht="12.75">
      <c r="A22" s="2">
        <v>20</v>
      </c>
      <c r="B22" s="79" t="s">
        <v>204</v>
      </c>
      <c r="C22" s="55">
        <f>'2011年10月'!U22</f>
        <v>19.640700000000024</v>
      </c>
      <c r="D22" s="56">
        <v>2</v>
      </c>
      <c r="E22" s="57">
        <v>100</v>
      </c>
      <c r="F22" s="58">
        <f t="shared" si="1"/>
        <v>-35.294</v>
      </c>
      <c r="G22" s="56">
        <v>1</v>
      </c>
      <c r="H22" s="57"/>
      <c r="I22" s="58">
        <f t="shared" si="2"/>
        <v>-15.7895</v>
      </c>
      <c r="J22" s="56">
        <v>2</v>
      </c>
      <c r="K22" s="57"/>
      <c r="L22" s="58">
        <f t="shared" si="3"/>
        <v>-35.294</v>
      </c>
      <c r="M22" s="56">
        <v>1</v>
      </c>
      <c r="N22" s="57"/>
      <c r="O22" s="58">
        <f t="shared" si="4"/>
        <v>-8.4286</v>
      </c>
      <c r="P22" s="92">
        <v>1</v>
      </c>
      <c r="Q22" s="101"/>
      <c r="R22" s="58">
        <f t="shared" si="5"/>
        <v>-16.6667</v>
      </c>
      <c r="S22" s="56"/>
      <c r="T22" s="59"/>
      <c r="U22" s="77">
        <f t="shared" si="0"/>
        <v>8.167900000000028</v>
      </c>
      <c r="W22" s="89"/>
    </row>
    <row r="23" spans="1:23" ht="12.75">
      <c r="A23" s="2">
        <v>21</v>
      </c>
      <c r="B23" s="79" t="s">
        <v>128</v>
      </c>
      <c r="C23" s="55">
        <f>'2011年10月'!U23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-8.4286</v>
      </c>
      <c r="P23" s="92"/>
      <c r="Q23" s="101"/>
      <c r="R23" s="58">
        <f t="shared" si="5"/>
        <v>0</v>
      </c>
      <c r="S23" s="60"/>
      <c r="T23" s="59"/>
      <c r="U23" s="77">
        <f t="shared" si="0"/>
        <v>68.84479999999999</v>
      </c>
      <c r="W23" s="89"/>
    </row>
    <row r="24" spans="1:23" ht="12.75">
      <c r="A24" s="2">
        <v>22</v>
      </c>
      <c r="B24" s="82" t="s">
        <v>135</v>
      </c>
      <c r="C24" s="67">
        <f>'2011年10月'!U24</f>
        <v>50.556299999999986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-8.4286</v>
      </c>
      <c r="P24" s="93">
        <v>1</v>
      </c>
      <c r="Q24" s="102"/>
      <c r="R24" s="70">
        <f t="shared" si="5"/>
        <v>-16.6667</v>
      </c>
      <c r="S24" s="68"/>
      <c r="T24" s="71"/>
      <c r="U24" s="77">
        <f t="shared" si="0"/>
        <v>25.46099999999999</v>
      </c>
      <c r="W24" s="89"/>
    </row>
    <row r="25" spans="1:23" ht="12.75">
      <c r="A25" s="2">
        <v>23</v>
      </c>
      <c r="B25" s="82" t="s">
        <v>136</v>
      </c>
      <c r="C25" s="67">
        <f>'2011年10月'!U25</f>
        <v>-11.384099999999997</v>
      </c>
      <c r="D25" s="68"/>
      <c r="E25" s="69"/>
      <c r="F25" s="70">
        <f t="shared" si="1"/>
        <v>0</v>
      </c>
      <c r="G25" s="68">
        <v>1</v>
      </c>
      <c r="H25" s="69">
        <v>200</v>
      </c>
      <c r="I25" s="70">
        <f t="shared" si="2"/>
        <v>-15.7895</v>
      </c>
      <c r="J25" s="68">
        <v>1</v>
      </c>
      <c r="K25" s="69"/>
      <c r="L25" s="70">
        <f t="shared" si="3"/>
        <v>-17.647</v>
      </c>
      <c r="M25" s="68">
        <v>1</v>
      </c>
      <c r="N25" s="69"/>
      <c r="O25" s="70">
        <f t="shared" si="4"/>
        <v>-8.4286</v>
      </c>
      <c r="P25" s="93">
        <v>1</v>
      </c>
      <c r="Q25" s="102"/>
      <c r="R25" s="70">
        <f t="shared" si="5"/>
        <v>-16.6667</v>
      </c>
      <c r="S25" s="68"/>
      <c r="T25" s="71"/>
      <c r="U25" s="77">
        <f t="shared" si="0"/>
        <v>130.08410000000003</v>
      </c>
      <c r="W25" s="89"/>
    </row>
    <row r="26" spans="1:23" ht="12.75">
      <c r="A26" s="2">
        <v>24</v>
      </c>
      <c r="B26" s="82" t="s">
        <v>86</v>
      </c>
      <c r="C26" s="67">
        <f>'2011年10月'!U26</f>
        <v>42.0616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>
        <v>100</v>
      </c>
      <c r="L26" s="70">
        <f t="shared" si="3"/>
        <v>-17.647</v>
      </c>
      <c r="M26" s="68">
        <v>1</v>
      </c>
      <c r="N26" s="69"/>
      <c r="O26" s="70">
        <f t="shared" si="4"/>
        <v>-8.4286</v>
      </c>
      <c r="P26" s="93">
        <v>1</v>
      </c>
      <c r="Q26" s="102"/>
      <c r="R26" s="70">
        <f t="shared" si="5"/>
        <v>-16.6667</v>
      </c>
      <c r="S26" s="72"/>
      <c r="T26" s="71"/>
      <c r="U26" s="77">
        <f t="shared" si="0"/>
        <v>99.3193</v>
      </c>
      <c r="W26" s="89"/>
    </row>
    <row r="27" spans="1:23" ht="12.75">
      <c r="A27" s="2">
        <v>25</v>
      </c>
      <c r="B27" s="80"/>
      <c r="C27" s="61">
        <f>'2011年10月'!U27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68</v>
      </c>
      <c r="C28" s="61">
        <f>'2011年10月'!U28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-8.4286</v>
      </c>
      <c r="P28" s="97"/>
      <c r="Q28" s="106"/>
      <c r="R28" s="64">
        <f t="shared" si="5"/>
        <v>0</v>
      </c>
      <c r="S28" s="65"/>
      <c r="T28" s="66"/>
      <c r="U28" s="77">
        <f t="shared" si="0"/>
        <v>-67.4975</v>
      </c>
      <c r="W28" s="89"/>
    </row>
    <row r="29" spans="1:23" ht="12.75">
      <c r="A29" s="2">
        <v>27</v>
      </c>
      <c r="B29" s="80"/>
      <c r="C29" s="61">
        <f>'2011年10月'!U29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'2011年10月'!U30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-8.4286</v>
      </c>
      <c r="P30" s="98"/>
      <c r="Q30" s="107"/>
      <c r="R30" s="46">
        <f t="shared" si="5"/>
        <v>0</v>
      </c>
      <c r="S30" s="48"/>
      <c r="T30" s="47"/>
      <c r="U30" s="77">
        <f t="shared" si="0"/>
        <v>-32.0851</v>
      </c>
      <c r="V30" s="28"/>
      <c r="W30" s="89"/>
    </row>
    <row r="31" spans="1:23" ht="12.75">
      <c r="A31" s="2">
        <v>29</v>
      </c>
      <c r="B31" s="81"/>
      <c r="C31" s="43">
        <f>'2011年10月'!U31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'2011年10月'!U32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'2011年10月'!U33</f>
        <v>58.211899999999986</v>
      </c>
      <c r="D33" s="50">
        <v>1</v>
      </c>
      <c r="E33" s="51"/>
      <c r="F33" s="52">
        <f t="shared" si="1"/>
        <v>-17.647</v>
      </c>
      <c r="G33" s="50">
        <v>1</v>
      </c>
      <c r="H33" s="51"/>
      <c r="I33" s="52">
        <f t="shared" si="2"/>
        <v>-15.7895</v>
      </c>
      <c r="J33" s="50">
        <v>1</v>
      </c>
      <c r="K33" s="51"/>
      <c r="L33" s="52">
        <f t="shared" si="3"/>
        <v>-17.647</v>
      </c>
      <c r="M33" s="50">
        <v>1</v>
      </c>
      <c r="N33" s="51"/>
      <c r="O33" s="52">
        <f t="shared" si="4"/>
        <v>-8.4286</v>
      </c>
      <c r="P33" s="90"/>
      <c r="Q33" s="99"/>
      <c r="R33" s="52">
        <f t="shared" si="5"/>
        <v>0</v>
      </c>
      <c r="S33" s="50"/>
      <c r="T33" s="53"/>
      <c r="U33" s="77">
        <f t="shared" si="0"/>
        <v>-1.300200000000011</v>
      </c>
      <c r="W33" s="89"/>
    </row>
    <row r="34" spans="1:23" ht="12.75">
      <c r="A34" s="2">
        <v>32</v>
      </c>
      <c r="B34" s="78" t="s">
        <v>170</v>
      </c>
      <c r="C34" s="49">
        <f>'2011年10月'!U34</f>
        <v>195.37929999999997</v>
      </c>
      <c r="D34" s="50"/>
      <c r="E34" s="51"/>
      <c r="F34" s="52">
        <f t="shared" si="1"/>
        <v>0</v>
      </c>
      <c r="G34" s="88">
        <v>2</v>
      </c>
      <c r="H34" s="51"/>
      <c r="I34" s="52">
        <f t="shared" si="2"/>
        <v>-31.579</v>
      </c>
      <c r="J34" s="88">
        <v>1</v>
      </c>
      <c r="K34" s="51"/>
      <c r="L34" s="52">
        <f t="shared" si="3"/>
        <v>-17.647</v>
      </c>
      <c r="M34" s="50">
        <v>1</v>
      </c>
      <c r="N34" s="51"/>
      <c r="O34" s="52">
        <f t="shared" si="4"/>
        <v>-8.4286</v>
      </c>
      <c r="P34" s="90">
        <v>1</v>
      </c>
      <c r="Q34" s="99"/>
      <c r="R34" s="52">
        <f t="shared" si="5"/>
        <v>-16.6667</v>
      </c>
      <c r="S34" s="54"/>
      <c r="T34" s="53"/>
      <c r="U34" s="77">
        <f t="shared" si="0"/>
        <v>121.05799999999999</v>
      </c>
      <c r="W34" s="89"/>
    </row>
    <row r="35" spans="1:23" ht="12.75">
      <c r="A35" s="2">
        <v>33</v>
      </c>
      <c r="B35" s="78" t="s">
        <v>94</v>
      </c>
      <c r="C35" s="49">
        <f>'2011年10月'!U35</f>
        <v>47.427899999999966</v>
      </c>
      <c r="D35" s="50">
        <v>1</v>
      </c>
      <c r="E35" s="51"/>
      <c r="F35" s="52">
        <f t="shared" si="1"/>
        <v>-17.647</v>
      </c>
      <c r="G35" s="50">
        <v>1</v>
      </c>
      <c r="H35" s="51"/>
      <c r="I35" s="52">
        <f t="shared" si="2"/>
        <v>-15.7895</v>
      </c>
      <c r="J35" s="50">
        <v>1</v>
      </c>
      <c r="K35" s="51">
        <v>100</v>
      </c>
      <c r="L35" s="52">
        <f t="shared" si="3"/>
        <v>-17.647</v>
      </c>
      <c r="M35" s="50">
        <v>1</v>
      </c>
      <c r="N35" s="51"/>
      <c r="O35" s="52">
        <f t="shared" si="4"/>
        <v>-8.4286</v>
      </c>
      <c r="P35" s="90">
        <v>1</v>
      </c>
      <c r="Q35" s="99"/>
      <c r="R35" s="52">
        <f t="shared" si="5"/>
        <v>-16.6667</v>
      </c>
      <c r="S35" s="50"/>
      <c r="T35" s="53"/>
      <c r="U35" s="77">
        <f aca="true" t="shared" si="6" ref="U35:U53">C35+E35+F35+H35+I35+K35+L35+N35+O35+T35+Q35+R35</f>
        <v>71.24909999999997</v>
      </c>
      <c r="W35" s="89"/>
    </row>
    <row r="36" spans="1:23" ht="12.75">
      <c r="A36" s="2">
        <v>34</v>
      </c>
      <c r="B36" s="79"/>
      <c r="C36" s="55">
        <f>'2011年10月'!U36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'2011年10月'!U37</f>
        <v>27.251999999999953</v>
      </c>
      <c r="D37" s="56">
        <v>1</v>
      </c>
      <c r="E37" s="57"/>
      <c r="F37" s="58">
        <f t="shared" si="1"/>
        <v>-17.647</v>
      </c>
      <c r="G37" s="56">
        <v>1</v>
      </c>
      <c r="H37" s="57">
        <v>200</v>
      </c>
      <c r="I37" s="58">
        <f t="shared" si="2"/>
        <v>-15.7895</v>
      </c>
      <c r="J37" s="56">
        <v>1</v>
      </c>
      <c r="K37" s="57"/>
      <c r="L37" s="58">
        <f t="shared" si="3"/>
        <v>-17.647</v>
      </c>
      <c r="M37" s="56">
        <v>1</v>
      </c>
      <c r="N37" s="57"/>
      <c r="O37" s="58">
        <f t="shared" si="4"/>
        <v>-8.4286</v>
      </c>
      <c r="P37" s="92">
        <v>1</v>
      </c>
      <c r="Q37" s="101"/>
      <c r="R37" s="58">
        <f t="shared" si="5"/>
        <v>-16.6667</v>
      </c>
      <c r="S37" s="56"/>
      <c r="T37" s="59"/>
      <c r="U37" s="77">
        <f t="shared" si="6"/>
        <v>151.07319999999999</v>
      </c>
      <c r="V37" s="28"/>
      <c r="W37" s="89"/>
    </row>
    <row r="38" spans="1:23" ht="12.75">
      <c r="A38" s="2">
        <v>36</v>
      </c>
      <c r="B38" s="79" t="s">
        <v>143</v>
      </c>
      <c r="C38" s="55">
        <f>'2011年10月'!U38</f>
        <v>24.153900000000007</v>
      </c>
      <c r="D38" s="56">
        <v>1</v>
      </c>
      <c r="E38" s="57">
        <v>100</v>
      </c>
      <c r="F38" s="58">
        <f t="shared" si="1"/>
        <v>-17.647</v>
      </c>
      <c r="G38" s="56">
        <v>1</v>
      </c>
      <c r="H38" s="57"/>
      <c r="I38" s="58">
        <f t="shared" si="2"/>
        <v>-15.7895</v>
      </c>
      <c r="J38" s="56">
        <v>1</v>
      </c>
      <c r="K38" s="57"/>
      <c r="L38" s="58">
        <f t="shared" si="3"/>
        <v>-17.647</v>
      </c>
      <c r="M38" s="56">
        <v>1</v>
      </c>
      <c r="N38" s="57"/>
      <c r="O38" s="58">
        <f t="shared" si="4"/>
        <v>-8.4286</v>
      </c>
      <c r="P38" s="92">
        <v>1</v>
      </c>
      <c r="Q38" s="101"/>
      <c r="R38" s="58">
        <f t="shared" si="5"/>
        <v>-16.6667</v>
      </c>
      <c r="S38" s="60"/>
      <c r="T38" s="59"/>
      <c r="U38" s="77">
        <f t="shared" si="6"/>
        <v>47.975100000000005</v>
      </c>
      <c r="W38" s="89"/>
    </row>
    <row r="39" spans="1:23" ht="12.75">
      <c r="A39" s="2">
        <v>37</v>
      </c>
      <c r="B39" s="82"/>
      <c r="C39" s="67">
        <f>'2011年10月'!U39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'2011年10月'!U42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'2011年10月'!U43</f>
        <v>17.7471</v>
      </c>
      <c r="D43" s="65">
        <v>1</v>
      </c>
      <c r="E43" s="74"/>
      <c r="F43" s="64">
        <f t="shared" si="1"/>
        <v>-17.647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-8.4286</v>
      </c>
      <c r="P43" s="97"/>
      <c r="Q43" s="106"/>
      <c r="R43" s="64">
        <f t="shared" si="5"/>
        <v>0</v>
      </c>
      <c r="S43" s="65"/>
      <c r="T43" s="66"/>
      <c r="U43" s="77">
        <f t="shared" si="6"/>
        <v>-8.328499999999998</v>
      </c>
      <c r="W43" s="89"/>
    </row>
    <row r="44" spans="1:23" ht="12.75">
      <c r="A44" s="2">
        <v>42</v>
      </c>
      <c r="B44" s="80" t="s">
        <v>171</v>
      </c>
      <c r="C44" s="61">
        <f>'2011年10月'!U44</f>
        <v>28.76959999999997</v>
      </c>
      <c r="D44" s="65">
        <v>1</v>
      </c>
      <c r="E44" s="74"/>
      <c r="F44" s="64">
        <f t="shared" si="1"/>
        <v>-17.647</v>
      </c>
      <c r="G44" s="65">
        <v>1</v>
      </c>
      <c r="H44" s="74">
        <v>100</v>
      </c>
      <c r="I44" s="64">
        <f t="shared" si="2"/>
        <v>-15.7895</v>
      </c>
      <c r="J44" s="65">
        <v>1</v>
      </c>
      <c r="K44" s="74"/>
      <c r="L44" s="64">
        <f t="shared" si="3"/>
        <v>-17.647</v>
      </c>
      <c r="M44" s="65">
        <v>1</v>
      </c>
      <c r="N44" s="74"/>
      <c r="O44" s="64">
        <f t="shared" si="4"/>
        <v>-8.4286</v>
      </c>
      <c r="P44" s="97">
        <v>1</v>
      </c>
      <c r="Q44" s="106"/>
      <c r="R44" s="64">
        <f t="shared" si="5"/>
        <v>-16.6667</v>
      </c>
      <c r="S44" s="65"/>
      <c r="T44" s="66"/>
      <c r="U44" s="77">
        <f t="shared" si="6"/>
        <v>52.59079999999998</v>
      </c>
      <c r="W44" s="89"/>
    </row>
    <row r="45" spans="1:23" ht="12.75">
      <c r="A45" s="2">
        <v>43</v>
      </c>
      <c r="B45" s="81"/>
      <c r="C45" s="43">
        <f>'2011年10月'!U45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'2011年10月'!U46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-8.4286</v>
      </c>
      <c r="P46" s="96"/>
      <c r="Q46" s="105"/>
      <c r="R46" s="46">
        <f t="shared" si="5"/>
        <v>0</v>
      </c>
      <c r="S46" s="44"/>
      <c r="T46" s="47"/>
      <c r="U46" s="77">
        <f t="shared" si="6"/>
        <v>-20.932300000000005</v>
      </c>
      <c r="W46" s="89"/>
    </row>
    <row r="47" spans="1:23" ht="12.75">
      <c r="A47" s="2">
        <v>45</v>
      </c>
      <c r="B47" s="81" t="s">
        <v>124</v>
      </c>
      <c r="C47" s="43">
        <f>'2011年10月'!U47</f>
        <v>2.93079999999998</v>
      </c>
      <c r="D47" s="48">
        <v>1</v>
      </c>
      <c r="E47" s="75"/>
      <c r="F47" s="46">
        <f t="shared" si="1"/>
        <v>-17.647</v>
      </c>
      <c r="G47" s="48"/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/>
      <c r="O47" s="46">
        <f t="shared" si="4"/>
        <v>-8.4286</v>
      </c>
      <c r="P47" s="98">
        <v>1</v>
      </c>
      <c r="Q47" s="107"/>
      <c r="R47" s="46">
        <f t="shared" si="5"/>
        <v>-16.6667</v>
      </c>
      <c r="S47" s="48"/>
      <c r="T47" s="47"/>
      <c r="U47" s="77">
        <f t="shared" si="6"/>
        <v>-39.81150000000002</v>
      </c>
      <c r="W47" s="89"/>
    </row>
    <row r="48" spans="1:23" ht="12.75">
      <c r="A48" s="2">
        <v>46</v>
      </c>
      <c r="B48" s="78"/>
      <c r="C48" s="49">
        <f>'2011年10月'!U48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'2011年10月'!U49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'2011年10月'!U50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'2011年10月'!U51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'2011年10月'!U52</f>
        <v>-65.2252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>
        <v>1</v>
      </c>
      <c r="N52" s="73"/>
      <c r="O52" s="58">
        <f t="shared" si="4"/>
        <v>-8.4286</v>
      </c>
      <c r="P52" s="60">
        <v>1</v>
      </c>
      <c r="Q52" s="73"/>
      <c r="R52" s="58">
        <f t="shared" si="5"/>
        <v>-16.6667</v>
      </c>
      <c r="S52" s="56"/>
      <c r="T52" s="59"/>
      <c r="U52" s="77">
        <f t="shared" si="6"/>
        <v>-90.32050000000001</v>
      </c>
      <c r="W52" s="89"/>
    </row>
    <row r="53" spans="1:23" ht="12.75">
      <c r="A53" s="2">
        <v>51</v>
      </c>
      <c r="B53" s="87"/>
      <c r="C53" s="55">
        <f>'2011年10月'!U53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17</v>
      </c>
      <c r="F55" s="1">
        <f>E66/D55</f>
        <v>17.647058823529413</v>
      </c>
      <c r="G55" s="1">
        <f>SUM(G3:G53)</f>
        <v>19</v>
      </c>
      <c r="I55" s="1">
        <f>H66/G55</f>
        <v>15.789473684210526</v>
      </c>
      <c r="J55" s="1">
        <f>SUM(J3:J53)</f>
        <v>17</v>
      </c>
      <c r="L55" s="1">
        <f>K66/J55</f>
        <v>17.647058823529413</v>
      </c>
      <c r="M55" s="1">
        <f>SUM(M3:M53)</f>
        <v>35</v>
      </c>
      <c r="O55" s="1">
        <f>N66/M55</f>
        <v>8.428571428571429</v>
      </c>
      <c r="P55" s="1">
        <f>SUM(P3:P53)</f>
        <v>18</v>
      </c>
      <c r="R55" s="1">
        <f>Q66/P55</f>
        <v>16.666666666666668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-299.9989999999999</v>
      </c>
      <c r="H57" s="28" t="s">
        <v>175</v>
      </c>
      <c r="I57" s="1">
        <f>SUM(I3:I53)</f>
        <v>-300.0005</v>
      </c>
      <c r="K57" s="28" t="s">
        <v>175</v>
      </c>
      <c r="L57" s="1">
        <f>SUM(L3:L53)</f>
        <v>-299.9989999999999</v>
      </c>
      <c r="N57" s="28" t="s">
        <v>175</v>
      </c>
      <c r="O57" s="1">
        <f>SUM(O3:O53)</f>
        <v>-300.0009999999999</v>
      </c>
      <c r="Q57" s="28" t="s">
        <v>175</v>
      </c>
      <c r="R57" s="1">
        <f>SUM(R3:R53)</f>
        <v>-300.0005999999999</v>
      </c>
      <c r="U57" s="19"/>
    </row>
    <row r="58" spans="2:21" ht="12.75">
      <c r="B58" s="29" t="s">
        <v>176</v>
      </c>
      <c r="C58" s="27">
        <f>SUM(C3:C53)</f>
        <v>1200.0031999999997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1250.0031000000001</v>
      </c>
      <c r="W59" s="89">
        <f>U59</f>
        <v>1250.0031000000001</v>
      </c>
    </row>
    <row r="60" spans="4:20" ht="12.75" customHeight="1">
      <c r="D60" s="147" t="s">
        <v>266</v>
      </c>
      <c r="E60" s="148"/>
      <c r="F60" s="149"/>
      <c r="G60" s="147" t="s">
        <v>267</v>
      </c>
      <c r="H60" s="148"/>
      <c r="I60" s="149"/>
      <c r="J60" s="147" t="s">
        <v>268</v>
      </c>
      <c r="K60" s="148"/>
      <c r="L60" s="149"/>
      <c r="M60" s="147" t="s">
        <v>269</v>
      </c>
      <c r="N60" s="148"/>
      <c r="O60" s="149"/>
      <c r="P60" s="147" t="s">
        <v>270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295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 t="s">
        <v>271</v>
      </c>
      <c r="N89" s="1">
        <v>5</v>
      </c>
      <c r="P89" s="109"/>
    </row>
    <row r="93" spans="7:14" ht="12.75">
      <c r="G93" s="28"/>
      <c r="N93" s="1">
        <f>SUM(N89:N92)</f>
        <v>5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2012-05-20T15:18:43Z</dcterms:modified>
  <cp:category/>
  <cp:version/>
  <cp:contentType/>
  <cp:contentStatus/>
</cp:coreProperties>
</file>