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3080" tabRatio="780" firstSheet="7" activeTab="18"/>
  </bookViews>
  <sheets>
    <sheet name="2008年7月" sheetId="1" r:id="rId1"/>
    <sheet name="2008年8月" sheetId="2" r:id="rId2"/>
    <sheet name="2008年9月" sheetId="3" r:id="rId3"/>
    <sheet name="2008年10月" sheetId="4" r:id="rId4"/>
    <sheet name="2008年11月" sheetId="5" r:id="rId5"/>
    <sheet name="2008年12月" sheetId="6" r:id="rId6"/>
    <sheet name="2009年1月2月" sheetId="7" r:id="rId7"/>
    <sheet name="2009年3月" sheetId="8" r:id="rId8"/>
    <sheet name="2009年4月" sheetId="9" r:id="rId9"/>
    <sheet name="2009年5月" sheetId="10" r:id="rId10"/>
    <sheet name="2009年6月" sheetId="11" r:id="rId11"/>
    <sheet name="2009年7月" sheetId="12" r:id="rId12"/>
    <sheet name="2009年8月" sheetId="13" r:id="rId13"/>
    <sheet name="2009年9月" sheetId="14" r:id="rId14"/>
    <sheet name="2009年10月" sheetId="15" r:id="rId15"/>
    <sheet name="2009年11月" sheetId="16" r:id="rId16"/>
    <sheet name="2010年1月" sheetId="17" r:id="rId17"/>
    <sheet name="2010年3月" sheetId="18" r:id="rId18"/>
    <sheet name="2010年4月" sheetId="19" r:id="rId19"/>
  </sheets>
  <definedNames/>
  <calcPr fullCalcOnLoad="1"/>
</workbook>
</file>

<file path=xl/sharedStrings.xml><?xml version="1.0" encoding="utf-8"?>
<sst xmlns="http://schemas.openxmlformats.org/spreadsheetml/2006/main" count="2346" uniqueCount="709">
  <si>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</si>
  <si>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</si>
  <si>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</si>
  <si>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</si>
  <si>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</si>
  <si>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</si>
  <si>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</si>
  <si>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</si>
  <si>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</si>
  <si>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</si>
  <si>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</si>
  <si>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</si>
  <si>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上期余额</t>
  </si>
  <si>
    <t>诺坎普</t>
  </si>
  <si>
    <t>南天柱</t>
  </si>
  <si>
    <t>阿牛哥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</si>
  <si>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</si>
  <si>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人均费用</t>
  </si>
  <si>
    <t>参与总人数</t>
  </si>
  <si>
    <t>场地费用</t>
  </si>
  <si>
    <t>Rainingliu</t>
  </si>
  <si>
    <t>barbarain</t>
  </si>
  <si>
    <t>feiren</t>
  </si>
  <si>
    <t>白杨木</t>
  </si>
  <si>
    <r>
      <t>阿牛哥：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日未到同</t>
    </r>
    <r>
      <rPr>
        <sz val="10"/>
        <rFont val="Arial"/>
        <family val="2"/>
      </rPr>
      <t>A</t>
    </r>
    <r>
      <rPr>
        <sz val="10"/>
        <rFont val="宋体"/>
        <family val="0"/>
      </rPr>
      <t>费用</t>
    </r>
  </si>
  <si>
    <t>上次阿牛哥同学的费用
调整为海冬青负责
7月13日修正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</si>
  <si>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</si>
  <si>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龙鱼</t>
  </si>
  <si>
    <t>不懂事的弟弟</t>
  </si>
  <si>
    <t>奥迪TT</t>
  </si>
  <si>
    <t>两只鱼</t>
  </si>
  <si>
    <t>狼外婆</t>
  </si>
  <si>
    <t>Lixinso</t>
  </si>
  <si>
    <t>狼外婆同学的费用
记在两只鱼同学帐上</t>
  </si>
  <si>
    <t>wugui01</t>
  </si>
  <si>
    <t>milkpig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</si>
  <si>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零块场地</t>
    </r>
  </si>
  <si>
    <t>思无邪同学不记入</t>
  </si>
  <si>
    <t>运动无限</t>
  </si>
  <si>
    <t>河马</t>
  </si>
  <si>
    <t>tony_zhang2003</t>
  </si>
  <si>
    <t>mihu</t>
  </si>
  <si>
    <t>中南海</t>
  </si>
  <si>
    <t>狼外婆同学与两只鱼同学修正上次记帐，免得他俩打架
:)</t>
  </si>
  <si>
    <t>思无邪同学10元
这次亏了点儿:)</t>
  </si>
  <si>
    <t>黑色闪电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</si>
  <si>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</si>
  <si>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</si>
  <si>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</si>
  <si>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</si>
  <si>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</si>
  <si>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</si>
  <si>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</si>
  <si>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两只鱼</t>
  </si>
  <si>
    <t>狼外婆</t>
  </si>
  <si>
    <t>Lixinso</t>
  </si>
  <si>
    <t>milkpig</t>
  </si>
  <si>
    <t>运动无限</t>
  </si>
  <si>
    <t>tony_zhang2003</t>
  </si>
  <si>
    <t>mihu</t>
  </si>
  <si>
    <t>上期余额</t>
  </si>
  <si>
    <t>场地费用</t>
  </si>
  <si>
    <t xml:space="preserve">狼外婆同学背着TOM同学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</si>
  <si>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</si>
  <si>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中南海08</t>
  </si>
  <si>
    <t>smashing</t>
  </si>
  <si>
    <t>连思无邪实到共20人，其中有一个临时参与的朋友搭伙玩了一下</t>
  </si>
  <si>
    <t xml:space="preserve">思无邪同学10元，下次免费
</t>
  </si>
  <si>
    <t>本次暂时不按规则扣钱了，因为有几个新人是不懂得顶贴，或者是没有报名直接来玩的，还有个签名河马的同学报名是河马白，明天我确认一下吧</t>
  </si>
  <si>
    <t>河马白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</si>
  <si>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</si>
  <si>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思无邪同学本次免费
</t>
  </si>
  <si>
    <t>再原谅一次报名不顶贴的同学（不能只在报名里说话，必须在主贴以下随便什么地方发言，从而把主贴顶上去）。下次可不会再原谅了</t>
  </si>
  <si>
    <t xml:space="preserve">龙鱼同学背着他朋友
</t>
  </si>
  <si>
    <t>报名未到情况：一个没来过的新人；两个说带朋友来的但是朋友未到。均不记入帐</t>
  </si>
  <si>
    <t>本次还是暂时不按规则扣钱了，因为有几个新人还是不懂得顶贴。分别是：运动无限、河马白、tong-zhang、李贤辉、南天柱</t>
  </si>
  <si>
    <t xml:space="preserve">思无邪同学10元，下次免费
宇风同学10元
</t>
  </si>
  <si>
    <t>晴天雨</t>
  </si>
  <si>
    <t xml:space="preserve">晴天雨同学背着他朋友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</si>
  <si>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</si>
  <si>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宇风</t>
  </si>
  <si>
    <t>未顶贴情况</t>
  </si>
  <si>
    <t>未报名直接去情况</t>
  </si>
  <si>
    <t>报名未到情况：两只鱼、河马白。同A费用</t>
  </si>
  <si>
    <r>
      <t>t</t>
    </r>
    <r>
      <rPr>
        <sz val="10"/>
        <rFont val="Arial"/>
        <family val="2"/>
      </rPr>
      <t>onyzhang</t>
    </r>
  </si>
  <si>
    <t xml:space="preserve">milkpig同学背着他朋友
</t>
  </si>
  <si>
    <t>TOM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</si>
  <si>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</si>
  <si>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</si>
  <si>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geedso</t>
  </si>
  <si>
    <t xml:space="preserve">龙龙四同学15元；貌似群鹿同学15元（实际交20元，待确认身份，下次退他5块）
</t>
  </si>
  <si>
    <t>报名未到情况：Lixinso、河马白。同A费用</t>
  </si>
  <si>
    <t>再说一句就散会</t>
  </si>
  <si>
    <t>南天柱</t>
  </si>
  <si>
    <t>白杨木</t>
  </si>
  <si>
    <t>阿牛哥</t>
  </si>
  <si>
    <t>不懂事的弟弟</t>
  </si>
  <si>
    <t>smashing</t>
  </si>
  <si>
    <t>宇风</t>
  </si>
  <si>
    <t xml:space="preserve">笑(*)(那个字没认清)同学10元,思无邪同学本次免费
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</si>
  <si>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</si>
  <si>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思无邪</t>
  </si>
  <si>
    <t>群鹿</t>
  </si>
  <si>
    <t>观长</t>
  </si>
  <si>
    <t>龙龙四</t>
  </si>
  <si>
    <t xml:space="preserve">宇风同学20元
</t>
  </si>
  <si>
    <t>观长</t>
  </si>
  <si>
    <t>报名未到情况：无</t>
  </si>
  <si>
    <t>马尔代夫国脚</t>
  </si>
  <si>
    <t>春天的阳光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</si>
  <si>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</si>
  <si>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</si>
  <si>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宇风同学上次20元，本次免费吧，改一次费用太麻烦
</t>
  </si>
  <si>
    <t>geedso</t>
  </si>
  <si>
    <t>狼外婆</t>
  </si>
  <si>
    <t xml:space="preserve">龙鱼同学背着他2位朋友；milkpig同学背着他2位朋友
</t>
  </si>
  <si>
    <t>贝纳通的GG</t>
  </si>
  <si>
    <t>赫克托耳</t>
  </si>
  <si>
    <t>费用校对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</si>
  <si>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</si>
  <si>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老兵新号同学第一次来，
没报名，不扣费</t>
  </si>
  <si>
    <t>胖头鱼同学活动后才明白顶贴方法，不扣费</t>
  </si>
  <si>
    <t>马代国脚</t>
  </si>
  <si>
    <t>胖头鱼1号</t>
  </si>
  <si>
    <t>老兵新号</t>
  </si>
  <si>
    <t>龙虾</t>
  </si>
  <si>
    <t>南天柱</t>
  </si>
  <si>
    <t>不懂事的弟弟</t>
  </si>
  <si>
    <t>奥迪TT</t>
  </si>
  <si>
    <t>Lixinso</t>
  </si>
  <si>
    <t>wugui01</t>
  </si>
  <si>
    <t>milkpig</t>
  </si>
  <si>
    <t>运动无限</t>
  </si>
  <si>
    <t>mihu</t>
  </si>
  <si>
    <t>smashing</t>
  </si>
  <si>
    <t>宇风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</si>
  <si>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</si>
  <si>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</si>
  <si>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</si>
  <si>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</si>
  <si>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</si>
  <si>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</si>
  <si>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</si>
  <si>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</si>
  <si>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</si>
  <si>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</si>
  <si>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老兵新号</t>
  </si>
  <si>
    <t>场地费用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</si>
  <si>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</si>
  <si>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没头脑不高兴同学暂定加入，本次费用10元</t>
  </si>
  <si>
    <t>刘洋</t>
  </si>
  <si>
    <t>没头脑不高兴</t>
  </si>
  <si>
    <t>tony-飘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</si>
  <si>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</si>
  <si>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初次</t>
  </si>
  <si>
    <t>无</t>
  </si>
  <si>
    <t>wjf130</t>
  </si>
  <si>
    <t>蒙古狼</t>
  </si>
  <si>
    <t>报名未到情况：</t>
  </si>
  <si>
    <t>观长</t>
  </si>
  <si>
    <t>晴天雨</t>
  </si>
  <si>
    <t>同A费用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</si>
  <si>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</si>
  <si>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milkpig同学背着他2朋友
</t>
  </si>
  <si>
    <t>未知小TOM是何许人</t>
  </si>
  <si>
    <t>小侯</t>
  </si>
  <si>
    <t>思无邪</t>
  </si>
  <si>
    <t>群鹿</t>
  </si>
  <si>
    <t>龙龙四</t>
  </si>
  <si>
    <t>胖头鱼1号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</si>
  <si>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</si>
  <si>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思无邪同学背着他朋友
</t>
  </si>
  <si>
    <t>小TOM</t>
  </si>
  <si>
    <t>小猴儿323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</si>
  <si>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点半
二中
半块场地</t>
    </r>
  </si>
  <si>
    <t>龙虾</t>
  </si>
  <si>
    <t>蒙古狼</t>
  </si>
  <si>
    <t>费用同A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</si>
  <si>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整块场地</t>
    </r>
  </si>
  <si>
    <t>小猴儿323</t>
  </si>
  <si>
    <t>海子、mexes同学临时参加，每人交费20元</t>
  </si>
  <si>
    <t>晴天雨同学背着他朋友</t>
  </si>
  <si>
    <r>
      <t xml:space="preserve">特别说明：刘洋同学此前
参加活动换了名字并且
未顶贴，本次活动中追扣
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次未顶贴费用共计</t>
    </r>
    <r>
      <rPr>
        <sz val="10"/>
        <color indexed="12"/>
        <rFont val="Arial"/>
        <family val="2"/>
      </rPr>
      <t>20</t>
    </r>
    <r>
      <rPr>
        <sz val="10"/>
        <color indexed="12"/>
        <rFont val="宋体"/>
        <family val="0"/>
      </rPr>
      <t>元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</si>
  <si>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</si>
  <si>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</si>
  <si>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胖头鱼同学背着他朋友</t>
  </si>
  <si>
    <t>milkpig同学背着他朋友</t>
  </si>
  <si>
    <t>马代国脚</t>
  </si>
  <si>
    <r>
      <t>m</t>
    </r>
    <r>
      <rPr>
        <sz val="10"/>
        <rFont val="Arial"/>
        <family val="2"/>
      </rPr>
      <t>ilkpig</t>
    </r>
  </si>
  <si>
    <t>马甲费用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</si>
  <si>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</si>
  <si>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</si>
  <si>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</si>
  <si>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</si>
  <si>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</si>
  <si>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</si>
  <si>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</si>
  <si>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</si>
  <si>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</si>
  <si>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</si>
  <si>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</si>
  <si>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</si>
  <si>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</si>
  <si>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</si>
  <si>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</si>
  <si>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</si>
  <si>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</si>
  <si>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</si>
  <si>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</si>
  <si>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</si>
  <si>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</si>
  <si>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</si>
  <si>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</si>
  <si>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</si>
  <si>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</si>
  <si>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</si>
  <si>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</si>
  <si>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</si>
  <si>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</si>
  <si>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</si>
  <si>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</si>
  <si>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</si>
  <si>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</si>
  <si>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</si>
  <si>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</si>
  <si>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</si>
  <si>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</si>
  <si>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</si>
  <si>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</si>
  <si>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</si>
  <si>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</si>
  <si>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</si>
  <si>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</si>
  <si>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参与总人数</t>
  </si>
  <si>
    <t>人均费用</t>
  </si>
  <si>
    <t>费用校对</t>
  </si>
  <si>
    <t>上期余额</t>
  </si>
  <si>
    <t>场地费用</t>
  </si>
  <si>
    <t>同A费用</t>
  </si>
  <si>
    <t>未顶贴情况</t>
  </si>
  <si>
    <t>未报名直接去情况</t>
  </si>
  <si>
    <t>无</t>
  </si>
  <si>
    <t>报名未到情况：无</t>
  </si>
  <si>
    <t>费用同A</t>
  </si>
  <si>
    <r>
      <t>小猴儿</t>
    </r>
    <r>
      <rPr>
        <sz val="10"/>
        <rFont val="Arial"/>
        <family val="2"/>
      </rPr>
      <t>323</t>
    </r>
  </si>
  <si>
    <t>思无邪</t>
  </si>
  <si>
    <r>
      <t>b</t>
    </r>
    <r>
      <rPr>
        <sz val="10"/>
        <rFont val="Arial"/>
        <family val="2"/>
      </rPr>
      <t>itchang</t>
    </r>
  </si>
  <si>
    <t>第一次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</si>
  <si>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</si>
  <si>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bitchang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</si>
  <si>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</si>
  <si>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刘洋</t>
  </si>
  <si>
    <t>小猴儿323</t>
  </si>
  <si>
    <t>bitchang</t>
  </si>
  <si>
    <r>
      <t>中南海</t>
    </r>
    <r>
      <rPr>
        <sz val="10"/>
        <rFont val="Arial"/>
        <family val="2"/>
      </rPr>
      <t>08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</si>
  <si>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</si>
  <si>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</si>
  <si>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</si>
  <si>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jeffleee</t>
  </si>
  <si>
    <t>马甲费用</t>
  </si>
  <si>
    <t>jeffleee</t>
  </si>
  <si>
    <t>同A费用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</si>
  <si>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</si>
  <si>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没头脑不高兴</t>
  </si>
  <si>
    <t>geedso同学上次活动是9月20日，直接扣30元冲抵到本次活动费用中</t>
  </si>
  <si>
    <t>ljlw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</si>
  <si>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</si>
  <si>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</si>
  <si>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暂时考虑扣钱的问题：3个月不参加活动的先不处理了，确实大家都有好多原因，跟谁计较我都不舒服。但是如果一整年都不来的，依然按照章程扣光所有费用。（扣钱的原因是我不愿意老替别人管着钱）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</si>
  <si>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</si>
  <si>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胖头鱼1号</t>
  </si>
  <si>
    <t>龙虾</t>
  </si>
  <si>
    <t>涛子哥</t>
  </si>
  <si>
    <t>大彪子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</si>
  <si>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</si>
  <si>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</si>
  <si>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海冬青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</si>
  <si>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</si>
  <si>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</si>
  <si>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</si>
  <si>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</si>
  <si>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</si>
  <si>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</si>
  <si>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</si>
  <si>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</si>
  <si>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</si>
  <si>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</si>
  <si>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</si>
  <si>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</si>
  <si>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</si>
  <si>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</si>
  <si>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</si>
  <si>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</si>
  <si>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</si>
  <si>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</si>
  <si>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</si>
  <si>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</si>
  <si>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</si>
  <si>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</si>
  <si>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</si>
  <si>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</si>
  <si>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</si>
  <si>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</si>
  <si>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</si>
  <si>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</si>
  <si>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</si>
  <si>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</si>
  <si>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</si>
  <si>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</si>
  <si>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</si>
  <si>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</si>
  <si>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</si>
  <si>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</si>
  <si>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</si>
  <si>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</si>
  <si>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</si>
  <si>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</si>
  <si>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</si>
  <si>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</si>
  <si>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</si>
  <si>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</si>
  <si>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</si>
  <si>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</si>
  <si>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</si>
  <si>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</si>
  <si>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</si>
  <si>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</si>
  <si>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</si>
  <si>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</si>
  <si>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</si>
  <si>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</si>
  <si>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</si>
  <si>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</si>
  <si>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r>
      <t>b</t>
    </r>
    <r>
      <rPr>
        <sz val="10"/>
        <rFont val="Arial"/>
        <family val="2"/>
      </rPr>
      <t>itchang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</si>
  <si>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</si>
  <si>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大彪子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</si>
  <si>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</si>
  <si>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整个场地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</si>
  <si>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</si>
  <si>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</si>
  <si>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</si>
  <si>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</si>
  <si>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</si>
  <si>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</si>
  <si>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</si>
  <si>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</si>
  <si>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</si>
  <si>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</si>
  <si>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</si>
  <si>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</si>
  <si>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</si>
  <si>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</si>
  <si>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</si>
  <si>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</si>
  <si>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</si>
  <si>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</si>
  <si>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</si>
  <si>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</si>
  <si>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</si>
  <si>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</si>
  <si>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</si>
  <si>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</si>
  <si>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</si>
  <si>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</si>
  <si>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</si>
  <si>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</si>
  <si>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</si>
  <si>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</si>
  <si>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</si>
  <si>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</si>
  <si>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</si>
  <si>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</si>
  <si>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</si>
  <si>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</si>
  <si>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</si>
  <si>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</si>
  <si>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</si>
  <si>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</si>
  <si>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</si>
  <si>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</si>
  <si>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</si>
  <si>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</si>
  <si>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</si>
  <si>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</si>
  <si>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</si>
  <si>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</si>
  <si>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</si>
  <si>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</si>
  <si>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</si>
  <si>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</si>
  <si>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</si>
  <si>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</si>
  <si>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</si>
  <si>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</si>
  <si>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</si>
  <si>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无</t>
  </si>
  <si>
    <t>报名未到情况：</t>
  </si>
  <si>
    <r>
      <t>b</t>
    </r>
    <r>
      <rPr>
        <sz val="10"/>
        <rFont val="Arial"/>
        <family val="2"/>
      </rPr>
      <t>itchang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</si>
  <si>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</si>
  <si>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4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</si>
  <si>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t>公共费用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</si>
  <si>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</si>
  <si>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流云无解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</si>
  <si>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</si>
  <si>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</si>
  <si>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公共费用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</si>
  <si>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</si>
  <si>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</si>
  <si>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</si>
  <si>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</si>
  <si>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</si>
  <si>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</si>
  <si>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</si>
  <si>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</si>
  <si>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</si>
  <si>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</si>
  <si>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</si>
  <si>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</si>
  <si>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</si>
  <si>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</si>
  <si>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</si>
  <si>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</si>
  <si>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</si>
  <si>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</si>
  <si>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</si>
  <si>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</si>
  <si>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</si>
  <si>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</si>
  <si>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</si>
  <si>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</si>
  <si>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</si>
  <si>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</si>
  <si>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</si>
  <si>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</si>
  <si>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</si>
  <si>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</si>
  <si>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</si>
  <si>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</si>
  <si>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</si>
  <si>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</si>
  <si>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</si>
  <si>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</si>
  <si>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</si>
  <si>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</si>
  <si>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</si>
  <si>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</si>
  <si>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</si>
  <si>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</si>
  <si>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</si>
  <si>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</si>
  <si>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</si>
  <si>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</si>
  <si>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</si>
  <si>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</si>
  <si>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</si>
  <si>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</si>
  <si>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</si>
  <si>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</si>
  <si>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</si>
  <si>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</si>
  <si>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r>
      <t>b</t>
    </r>
    <r>
      <rPr>
        <sz val="10"/>
        <rFont val="Arial"/>
        <family val="2"/>
      </rPr>
      <t>itchang</t>
    </r>
  </si>
  <si>
    <t>未报名直接去情况</t>
  </si>
  <si>
    <t>无</t>
  </si>
  <si>
    <t>报名未到情况：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</si>
  <si>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</si>
  <si>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</si>
  <si>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小猴儿</t>
    </r>
    <r>
      <rPr>
        <sz val="10"/>
        <rFont val="Arial"/>
        <family val="2"/>
      </rPr>
      <t>323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</si>
  <si>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</si>
  <si>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由于直接修改了5月9日的活动通知没发新通知，所以本次违规者都不扣钱:）</t>
  </si>
  <si>
    <t>本次活动因大风取消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</si>
  <si>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</si>
  <si>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6</t>
    </r>
    <r>
      <rPr>
        <sz val="10"/>
        <rFont val="Arial"/>
        <family val="2"/>
      </rPr>
      <t>-</t>
    </r>
    <r>
      <rPr>
        <sz val="10"/>
        <rFont val="Arial"/>
        <family val="2"/>
      </rPr>
      <t>34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</si>
  <si>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</si>
  <si>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wugui01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</si>
  <si>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</si>
  <si>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</t>
  </si>
  <si>
    <r>
      <t>w</t>
    </r>
    <r>
      <rPr>
        <sz val="10"/>
        <rFont val="Arial"/>
        <family val="2"/>
      </rPr>
      <t>ugui01</t>
    </r>
  </si>
  <si>
    <r>
      <t>b</t>
    </r>
    <r>
      <rPr>
        <sz val="10"/>
        <rFont val="Arial"/>
        <family val="2"/>
      </rPr>
      <t>itchang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</si>
  <si>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</si>
  <si>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</si>
  <si>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由于本次网站故障导致活动通知重新发了一次，所以只按照实际参加的17人均A费用</t>
  </si>
  <si>
    <t>ljlw</t>
  </si>
  <si>
    <r>
      <t>2009-</t>
    </r>
    <r>
      <rPr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</si>
  <si>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</si>
  <si>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</si>
  <si>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</si>
  <si>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大海888</t>
  </si>
  <si>
    <t>sirrah</t>
  </si>
  <si>
    <t>大海作为新人每次10元，待有同学满1年毕业离队后才正式入会</t>
  </si>
  <si>
    <t>大海、sirrah作为新人每次10元，待有同学满1年毕业离队后才正式入会</t>
  </si>
  <si>
    <t>wugui01</t>
  </si>
  <si>
    <t>大海、sirrah每次10元，本次都没有交费，暂时记未顶贴账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</si>
  <si>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</si>
  <si>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</si>
  <si>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sirrah本次10元，并补交了前两次的20元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</si>
  <si>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</si>
  <si>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清净无为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</si>
  <si>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</si>
  <si>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大海、清净无为作为新人每次10元，待有同学满1年毕业离队后才正式入会</t>
  </si>
  <si>
    <t>清净无为即sirrah，本次活动交10元，记在未顶贴里</t>
  </si>
  <si>
    <t>二中军训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</si>
  <si>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</si>
  <si>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大海本次活动交10元，记在未顶贴里（并补交了前两次的费用）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</si>
  <si>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</si>
  <si>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大海、清净无为各10元，记在未顶贴里</t>
  </si>
  <si>
    <t>没头脑</t>
  </si>
  <si>
    <t>公共费用</t>
  </si>
  <si>
    <t>bitchang</t>
  </si>
  <si>
    <t>jeffleee</t>
  </si>
  <si>
    <t>ljlw</t>
  </si>
  <si>
    <t>涛子哥</t>
  </si>
  <si>
    <t>大彪子</t>
  </si>
  <si>
    <t>大海、清净无为作为新人每次10元，待有同学满1年毕业离队后才正式入会</t>
  </si>
  <si>
    <t>清净无为</t>
  </si>
  <si>
    <t>报名未到情况：</t>
  </si>
  <si>
    <t>清净无为，本次活动交10元，记在未顶贴里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</si>
  <si>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</si>
  <si>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</si>
  <si>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运动无限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</si>
  <si>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</si>
  <si>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Arial"/>
        <family val="2"/>
      </rPr>
      <t>.26FB</t>
    </r>
  </si>
  <si>
    <t>清净无为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</si>
  <si>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4</t>
    </r>
    <r>
      <rPr>
        <sz val="10"/>
        <rFont val="宋体"/>
        <family val="0"/>
      </rPr>
      <t>点到</t>
    </r>
    <r>
      <rPr>
        <sz val="10"/>
        <rFont val="Arial"/>
        <family val="2"/>
      </rPr>
      <t>6</t>
    </r>
    <r>
      <rPr>
        <sz val="10"/>
        <rFont val="宋体"/>
        <family val="0"/>
      </rPr>
      <t>点
回龙观中学
半块场地</t>
    </r>
  </si>
  <si>
    <t>大海888、清净无为正式入会</t>
  </si>
  <si>
    <t>观长所欠费用32.07扣在海冬青费用内；龙鱼同学信使退出，回京后找我退费48.3919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</si>
  <si>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点以后
山东胖子烤串
三张桌子</t>
    </r>
  </si>
  <si>
    <t>FB费用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</si>
  <si>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</si>
  <si>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</si>
  <si>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</si>
  <si>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</si>
  <si>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独孤入会，取代大海888</t>
  </si>
  <si>
    <t>河马白34.52；smashing42.63；wjf130同学84.96元已经退费</t>
  </si>
  <si>
    <t>南天柱、白杨木、lixinso三位同学坚持余下费用充公，将在下次活动中冲抵一部分。感谢</t>
  </si>
  <si>
    <t>南天柱</t>
  </si>
  <si>
    <t>白杨木</t>
  </si>
  <si>
    <r>
      <t>l</t>
    </r>
    <r>
      <rPr>
        <sz val="10"/>
        <rFont val="Arial"/>
        <family val="2"/>
      </rPr>
      <t>ixinso</t>
    </r>
  </si>
  <si>
    <t>河马白</t>
  </si>
  <si>
    <t>wjf130</t>
  </si>
  <si>
    <t>退出原因</t>
  </si>
  <si>
    <t>忙于工作</t>
  </si>
  <si>
    <t>总出差</t>
  </si>
  <si>
    <t>重伤休息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</si>
  <si>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</si>
  <si>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南天柱</t>
  </si>
  <si>
    <t>lixinso</t>
  </si>
  <si>
    <t>白杨木</t>
  </si>
  <si>
    <t>白杨木同学部分费用充公，余下费用将在下次活动中冲抵。感谢</t>
  </si>
  <si>
    <t>南天柱、lixinso二位同学费用充公，本次活动中全部冲抵。感谢</t>
  </si>
  <si>
    <t>hanyu1115</t>
  </si>
  <si>
    <t>白杨木同学剩余费用34.54元充公，本次活动中冲抵干净。感谢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</si>
  <si>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</si>
  <si>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Joeliho</t>
  </si>
  <si>
    <t>WUgui01同学正式改名Joeliho（咋不弄个中文名捏，5555）</t>
  </si>
  <si>
    <t>公共费用</t>
  </si>
  <si>
    <t>诺坎普</t>
  </si>
  <si>
    <t>Rainingliu</t>
  </si>
  <si>
    <t>barbarain</t>
  </si>
  <si>
    <t>feiren</t>
  </si>
  <si>
    <t>独孤</t>
  </si>
  <si>
    <t>奥迪TT</t>
  </si>
  <si>
    <t>Lixinso</t>
  </si>
  <si>
    <t>Joeliho</t>
  </si>
  <si>
    <t>hanyu1115</t>
  </si>
  <si>
    <t>tony-飘</t>
  </si>
  <si>
    <t>mihu</t>
  </si>
  <si>
    <t>中南海08</t>
  </si>
  <si>
    <t>黑色闪电</t>
  </si>
  <si>
    <t>晴天雨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</si>
  <si>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</si>
  <si>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</si>
  <si>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</si>
  <si>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</si>
  <si>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</si>
  <si>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</si>
  <si>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</si>
  <si>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</si>
  <si>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</si>
  <si>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</si>
  <si>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</si>
  <si>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</si>
  <si>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</si>
  <si>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</si>
  <si>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</si>
  <si>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</si>
  <si>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</si>
  <si>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</si>
  <si>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</si>
  <si>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</si>
  <si>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</si>
  <si>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</si>
  <si>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</si>
  <si>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</si>
  <si>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</si>
  <si>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</si>
  <si>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</si>
  <si>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</si>
  <si>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</si>
  <si>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</si>
  <si>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</si>
  <si>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</si>
  <si>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</si>
  <si>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大海888入会</t>
  </si>
  <si>
    <t>清净无为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</si>
  <si>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</si>
  <si>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</si>
  <si>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Veron219未顶贴，第一次，不扣</t>
  </si>
  <si>
    <t>openhawk、Veron219二人入会</t>
  </si>
  <si>
    <t>veron219</t>
  </si>
  <si>
    <t>openhawk</t>
  </si>
  <si>
    <t>openhawk的朋友自己去的，未报名，直接记账，不扣钱了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</si>
  <si>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</si>
  <si>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</si>
  <si>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行云尊者</t>
  </si>
  <si>
    <t>贝隆</t>
  </si>
  <si>
    <t>行云尊者同学入会
veron219同学改名贝隆</t>
  </si>
  <si>
    <t>展白</t>
  </si>
  <si>
    <t>hanyu1115同学改名为展白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</si>
  <si>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</si>
  <si>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10</t>
    </r>
    <r>
      <rPr>
        <sz val="10"/>
        <rFont val="宋体"/>
        <family val="0"/>
      </rPr>
      <t>点到</t>
    </r>
    <r>
      <rPr>
        <sz val="10"/>
        <rFont val="Arial"/>
        <family val="2"/>
      </rPr>
      <t>12</t>
    </r>
    <r>
      <rPr>
        <sz val="10"/>
        <rFont val="宋体"/>
        <family val="0"/>
      </rPr>
      <t>点
体育公园
小足球场</t>
    </r>
  </si>
  <si>
    <t>行云尊者同学报名未到，免了。方便算账。嘎嘎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</si>
  <si>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</si>
  <si>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类似这两次的情况，过年之后可不给免了哈。要不规矩乱了就完蛋了。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</si>
  <si>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</si>
  <si>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龙龙四同学未报名直接到，免了。算他是好心来凑数的吧。嘎嘎。不过，</t>
  </si>
  <si>
    <t>公共费用</t>
  </si>
  <si>
    <t>诺坎普</t>
  </si>
  <si>
    <t>Rainingliu</t>
  </si>
  <si>
    <t>barbarain</t>
  </si>
  <si>
    <t>feiren</t>
  </si>
  <si>
    <t>openhawk</t>
  </si>
  <si>
    <t>行云尊者</t>
  </si>
  <si>
    <t>阿牛哥</t>
  </si>
  <si>
    <t>独孤</t>
  </si>
  <si>
    <t>不懂事的弟弟</t>
  </si>
  <si>
    <t>奥迪TT</t>
  </si>
  <si>
    <t>两只鱼</t>
  </si>
  <si>
    <t>狼外婆</t>
  </si>
  <si>
    <t>Lixinso</t>
  </si>
  <si>
    <t>Joeliho</t>
  </si>
  <si>
    <t>milkpig</t>
  </si>
  <si>
    <t>运动无限</t>
  </si>
  <si>
    <t>展白</t>
  </si>
  <si>
    <t>tony-飘</t>
  </si>
  <si>
    <t>mihu</t>
  </si>
  <si>
    <t>中南海08</t>
  </si>
  <si>
    <t>黑色闪电</t>
  </si>
  <si>
    <t>晴天雨</t>
  </si>
  <si>
    <t>大海888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</si>
  <si>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</si>
  <si>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</si>
  <si>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</si>
  <si>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</si>
  <si>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</si>
  <si>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</si>
  <si>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</si>
  <si>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</si>
  <si>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</si>
  <si>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</si>
  <si>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</si>
  <si>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</si>
  <si>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</si>
  <si>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</si>
  <si>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</si>
  <si>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</si>
  <si>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贝隆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</si>
  <si>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</si>
  <si>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</si>
  <si>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</si>
  <si>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</si>
  <si>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</si>
  <si>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</si>
  <si>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</si>
  <si>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</si>
  <si>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</si>
  <si>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</si>
  <si>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</si>
  <si>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</si>
  <si>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</si>
  <si>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</si>
  <si>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</si>
  <si>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</si>
  <si>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</si>
  <si>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清净无为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</si>
  <si>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</si>
  <si>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9</t>
    </r>
    <r>
      <rPr>
        <sz val="10"/>
        <rFont val="宋体"/>
        <family val="0"/>
      </rPr>
      <t>点到</t>
    </r>
    <r>
      <rPr>
        <sz val="10"/>
        <rFont val="Arial"/>
        <family val="2"/>
      </rPr>
      <t>11</t>
    </r>
    <r>
      <rPr>
        <sz val="10"/>
        <rFont val="宋体"/>
        <family val="0"/>
      </rPr>
      <t>点
回龙观中学
半块场地</t>
    </r>
  </si>
  <si>
    <t>本次活动人数不足10人，A全体，不扣费。已经满一年没参加活动的不A，有空清退时退费</t>
  </si>
  <si>
    <t>狼外婆不A，等下次清退不参加活动的人的时候转费用给两只鱼.老兵新号不A</t>
  </si>
  <si>
    <t>3月13日A全体，不表示所有人都参加了一次活动。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</si>
  <si>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</si>
  <si>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大海888同学误报，不A
下次注意</t>
  </si>
  <si>
    <t>openhawk</t>
  </si>
  <si>
    <t>行云尊者</t>
  </si>
  <si>
    <t>独孤</t>
  </si>
  <si>
    <t>Joeliho</t>
  </si>
  <si>
    <t>展白</t>
  </si>
  <si>
    <t>大海888</t>
  </si>
  <si>
    <t>贝隆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</si>
  <si>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</si>
  <si>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</si>
  <si>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</si>
  <si>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大彪子</t>
  </si>
  <si>
    <t>涛子哥</t>
  </si>
  <si>
    <t>晴天雨</t>
  </si>
  <si>
    <r>
      <t>狼外婆</t>
    </r>
    <r>
      <rPr>
        <sz val="10"/>
        <color indexed="10"/>
        <rFont val="Arial"/>
        <family val="2"/>
      </rPr>
      <t>41.64</t>
    </r>
    <r>
      <rPr>
        <sz val="10"/>
        <color indexed="10"/>
        <rFont val="宋体"/>
        <family val="0"/>
      </rPr>
      <t>、小</t>
    </r>
    <r>
      <rPr>
        <sz val="10"/>
        <color indexed="10"/>
        <rFont val="Arial"/>
        <family val="2"/>
      </rPr>
      <t>TOM60.54</t>
    </r>
    <r>
      <rPr>
        <sz val="10"/>
        <color indexed="10"/>
        <rFont val="宋体"/>
        <family val="0"/>
      </rPr>
      <t>，离京，费用转给两只鱼</t>
    </r>
  </si>
  <si>
    <r>
      <t>龙虾</t>
    </r>
    <r>
      <rPr>
        <sz val="10"/>
        <color indexed="10"/>
        <rFont val="Arial"/>
        <family val="2"/>
      </rPr>
      <t>72.84</t>
    </r>
    <r>
      <rPr>
        <sz val="10"/>
        <color indexed="10"/>
        <rFont val="宋体"/>
        <family val="0"/>
      </rPr>
      <t>，</t>
    </r>
    <r>
      <rPr>
        <sz val="10"/>
        <color indexed="10"/>
        <rFont val="Arial"/>
        <family val="2"/>
      </rPr>
      <t>09</t>
    </r>
    <r>
      <rPr>
        <sz val="10"/>
        <color indexed="10"/>
        <rFont val="宋体"/>
        <family val="0"/>
      </rPr>
      <t>年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11</t>
    </r>
    <r>
      <rPr>
        <sz val="10"/>
        <color indexed="10"/>
        <rFont val="宋体"/>
        <family val="0"/>
      </rPr>
      <t>日，</t>
    </r>
    <r>
      <rPr>
        <sz val="10"/>
        <color indexed="10"/>
        <rFont val="Arial"/>
        <family val="2"/>
      </rPr>
      <t>7</t>
    </r>
    <r>
      <rPr>
        <sz val="10"/>
        <color indexed="10"/>
        <rFont val="宋体"/>
        <family val="0"/>
      </rPr>
      <t>月可能回京，要求保留名额，因此扣</t>
    </r>
    <r>
      <rPr>
        <sz val="10"/>
        <color indexed="10"/>
        <rFont val="Arial"/>
        <family val="2"/>
      </rPr>
      <t>30</t>
    </r>
    <r>
      <rPr>
        <sz val="10"/>
        <color indexed="10"/>
        <rFont val="宋体"/>
        <family val="0"/>
      </rPr>
      <t>元，本次活动充公</t>
    </r>
  </si>
  <si>
    <t>老兵新号0.03、蒙古狼6.04、刘洋17.73、Tony-飘47.77，满一年，不能继续参加，充公</t>
  </si>
  <si>
    <t>赫克托耳74.57、阿牛哥73.46，满一年或者不能继续参加活动，退费</t>
  </si>
  <si>
    <r>
      <t>4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19</t>
    </r>
    <r>
      <rPr>
        <sz val="10"/>
        <color indexed="10"/>
        <rFont val="宋体"/>
        <family val="0"/>
      </rPr>
      <t>号，新购黄绿色荧光马甲</t>
    </r>
    <r>
      <rPr>
        <sz val="10"/>
        <color indexed="10"/>
        <rFont val="Arial"/>
        <family val="2"/>
      </rPr>
      <t>15</t>
    </r>
    <r>
      <rPr>
        <sz val="10"/>
        <color indexed="10"/>
        <rFont val="宋体"/>
        <family val="0"/>
      </rPr>
      <t>件</t>
    </r>
    <r>
      <rPr>
        <sz val="10"/>
        <color indexed="10"/>
        <rFont val="Arial"/>
        <family val="2"/>
      </rPr>
      <t>x15</t>
    </r>
    <r>
      <rPr>
        <sz val="10"/>
        <color indexed="10"/>
        <rFont val="宋体"/>
        <family val="0"/>
      </rPr>
      <t>元</t>
    </r>
    <r>
      <rPr>
        <sz val="10"/>
        <color indexed="10"/>
        <rFont val="Arial"/>
        <family val="2"/>
      </rPr>
      <t>=225</t>
    </r>
    <r>
      <rPr>
        <sz val="10"/>
        <color indexed="10"/>
        <rFont val="宋体"/>
        <family val="0"/>
      </rPr>
      <t>元，本次清退后现有</t>
    </r>
    <r>
      <rPr>
        <sz val="10"/>
        <color indexed="10"/>
        <rFont val="Arial"/>
        <family val="2"/>
      </rPr>
      <t>42</t>
    </r>
    <r>
      <rPr>
        <sz val="10"/>
        <color indexed="10"/>
        <rFont val="宋体"/>
        <family val="0"/>
      </rPr>
      <t>人均摊</t>
    </r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</si>
</sst>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3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7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4" borderId="3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3" borderId="33" xfId="0" applyFont="1" applyFill="1" applyBorder="1" applyAlignment="1">
      <alignment/>
    </xf>
    <xf numFmtId="58" fontId="0" fillId="24" borderId="34" xfId="0" applyNumberFormat="1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23" borderId="36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0" fillId="0" borderId="15" xfId="0" applyNumberFormat="1" applyFont="1" applyBorder="1" applyAlignment="1">
      <alignment/>
    </xf>
    <xf numFmtId="196" fontId="0" fillId="23" borderId="37" xfId="0" applyNumberFormat="1" applyFont="1" applyFill="1" applyBorder="1" applyAlignment="1">
      <alignment/>
    </xf>
    <xf numFmtId="196" fontId="23" fillId="23" borderId="37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25" fillId="4" borderId="24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0" fillId="20" borderId="31" xfId="0" applyFont="1" applyFill="1" applyBorder="1" applyAlignment="1">
      <alignment horizontal="right"/>
    </xf>
    <xf numFmtId="0" fontId="0" fillId="20" borderId="28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20" borderId="23" xfId="0" applyFont="1" applyFill="1" applyBorder="1" applyAlignment="1">
      <alignment horizontal="center"/>
    </xf>
    <xf numFmtId="196" fontId="0" fillId="20" borderId="15" xfId="0" applyNumberFormat="1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8" fillId="3" borderId="23" xfId="0" applyFont="1" applyFill="1" applyBorder="1" applyAlignment="1">
      <alignment horizontal="center"/>
    </xf>
    <xf numFmtId="196" fontId="0" fillId="3" borderId="15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8" fillId="25" borderId="23" xfId="0" applyFont="1" applyFill="1" applyBorder="1" applyAlignment="1">
      <alignment horizontal="center"/>
    </xf>
    <xf numFmtId="196" fontId="0" fillId="25" borderId="15" xfId="0" applyNumberFormat="1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8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196" fontId="0" fillId="10" borderId="15" xfId="0" applyNumberFormat="1" applyFont="1" applyFill="1" applyBorder="1" applyAlignment="1">
      <alignment/>
    </xf>
    <xf numFmtId="0" fontId="0" fillId="26" borderId="31" xfId="0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28" fillId="26" borderId="23" xfId="0" applyFont="1" applyFill="1" applyBorder="1" applyAlignment="1">
      <alignment horizontal="center"/>
    </xf>
    <xf numFmtId="196" fontId="0" fillId="26" borderId="15" xfId="0" applyNumberFormat="1" applyFont="1" applyFill="1" applyBorder="1" applyAlignment="1">
      <alignment/>
    </xf>
    <xf numFmtId="0" fontId="0" fillId="26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96" fontId="0" fillId="3" borderId="37" xfId="0" applyNumberFormat="1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25" fillId="25" borderId="24" xfId="0" applyFont="1" applyFill="1" applyBorder="1" applyAlignment="1">
      <alignment/>
    </xf>
    <xf numFmtId="0" fontId="25" fillId="10" borderId="24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5" fillId="20" borderId="24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24" borderId="26" xfId="0" applyFont="1" applyFill="1" applyBorder="1" applyAlignment="1">
      <alignment/>
    </xf>
    <xf numFmtId="0" fontId="0" fillId="25" borderId="42" xfId="0" applyFont="1" applyFill="1" applyBorder="1" applyAlignment="1">
      <alignment horizontal="right"/>
    </xf>
    <xf numFmtId="0" fontId="0" fillId="25" borderId="43" xfId="0" applyFont="1" applyFill="1" applyBorder="1" applyAlignment="1">
      <alignment/>
    </xf>
    <xf numFmtId="196" fontId="0" fillId="25" borderId="43" xfId="0" applyNumberFormat="1" applyFont="1" applyFill="1" applyBorder="1" applyAlignment="1">
      <alignment/>
    </xf>
    <xf numFmtId="0" fontId="25" fillId="4" borderId="44" xfId="0" applyFont="1" applyFill="1" applyBorder="1" applyAlignment="1">
      <alignment horizontal="left"/>
    </xf>
    <xf numFmtId="0" fontId="25" fillId="25" borderId="44" xfId="0" applyFont="1" applyFill="1" applyBorder="1" applyAlignment="1">
      <alignment horizontal="left"/>
    </xf>
    <xf numFmtId="0" fontId="30" fillId="0" borderId="0" xfId="0" applyFont="1" applyAlignment="1">
      <alignment wrapText="1"/>
    </xf>
    <xf numFmtId="0" fontId="1" fillId="3" borderId="31" xfId="0" applyFont="1" applyFill="1" applyBorder="1" applyAlignment="1">
      <alignment horizontal="right"/>
    </xf>
    <xf numFmtId="0" fontId="1" fillId="10" borderId="31" xfId="0" applyFont="1" applyFill="1" applyBorder="1" applyAlignment="1">
      <alignment horizontal="right"/>
    </xf>
    <xf numFmtId="0" fontId="28" fillId="3" borderId="28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5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5" borderId="45" xfId="0" applyFont="1" applyFill="1" applyBorder="1" applyAlignment="1">
      <alignment horizontal="center"/>
    </xf>
    <xf numFmtId="0" fontId="0" fillId="26" borderId="45" xfId="0" applyFont="1" applyFill="1" applyBorder="1" applyAlignment="1">
      <alignment horizontal="center"/>
    </xf>
    <xf numFmtId="0" fontId="0" fillId="26" borderId="46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2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25" fillId="0" borderId="0" xfId="0" applyFont="1" applyAlignment="1">
      <alignment wrapText="1"/>
    </xf>
    <xf numFmtId="0" fontId="27" fillId="0" borderId="0" xfId="0" applyFont="1" applyAlignment="1">
      <alignment/>
    </xf>
    <xf numFmtId="0" fontId="0" fillId="0" borderId="4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7" xfId="0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58" fontId="0" fillId="24" borderId="25" xfId="0" applyNumberFormat="1" applyFont="1" applyFill="1" applyBorder="1" applyAlignment="1">
      <alignment horizontal="center"/>
    </xf>
    <xf numFmtId="58" fontId="0" fillId="24" borderId="34" xfId="0" applyNumberFormat="1" applyFont="1" applyFill="1" applyBorder="1" applyAlignment="1">
      <alignment horizontal="center"/>
    </xf>
    <xf numFmtId="58" fontId="0" fillId="24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47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N6" sqref="N6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39634</v>
      </c>
      <c r="F1" s="19"/>
      <c r="G1" s="18"/>
      <c r="H1" s="32">
        <v>39642</v>
      </c>
      <c r="I1" s="19"/>
      <c r="J1" s="44"/>
      <c r="K1" s="32">
        <v>39648</v>
      </c>
      <c r="L1" s="45"/>
      <c r="M1" s="18"/>
      <c r="N1" s="32">
        <v>39655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27" t="s">
        <v>2</v>
      </c>
      <c r="C3" s="28">
        <v>0</v>
      </c>
      <c r="D3" s="21">
        <v>2</v>
      </c>
      <c r="E3" s="5">
        <v>100</v>
      </c>
      <c r="F3" s="7">
        <f>-16.667*D3</f>
        <v>-33.334</v>
      </c>
      <c r="G3" s="21">
        <v>1</v>
      </c>
      <c r="H3" s="5"/>
      <c r="I3" s="7">
        <f>-12.5*G3</f>
        <v>-12.5</v>
      </c>
      <c r="J3" s="22">
        <v>1</v>
      </c>
      <c r="K3" s="5"/>
      <c r="L3" s="7">
        <f>-3.85*J3</f>
        <v>-3.85</v>
      </c>
      <c r="M3" s="22">
        <v>1</v>
      </c>
      <c r="N3" s="5"/>
      <c r="O3" s="7">
        <f>-6.67*M3</f>
        <v>-6.67</v>
      </c>
      <c r="P3" s="22"/>
      <c r="Q3" s="38">
        <f aca="true" t="shared" si="0" ref="Q3:Q25">-0.77*P3</f>
        <v>0</v>
      </c>
      <c r="R3" s="39">
        <f aca="true" t="shared" si="1" ref="R3:R11">C3+E3+F3+H3+I3+K3+L3+N3+O3+Q3</f>
        <v>43.645999999999994</v>
      </c>
    </row>
    <row r="4" spans="1:18" ht="12.75">
      <c r="A4" s="2">
        <v>2</v>
      </c>
      <c r="B4" s="27" t="s">
        <v>3</v>
      </c>
      <c r="C4" s="28">
        <v>0</v>
      </c>
      <c r="D4" s="21">
        <v>1</v>
      </c>
      <c r="E4" s="5">
        <v>100</v>
      </c>
      <c r="F4" s="7">
        <f>-16.667*D4</f>
        <v>-16.667</v>
      </c>
      <c r="G4" s="21">
        <v>1</v>
      </c>
      <c r="H4" s="5"/>
      <c r="I4" s="7">
        <f>-12.5*G4</f>
        <v>-12.5</v>
      </c>
      <c r="J4" s="22"/>
      <c r="K4" s="5"/>
      <c r="L4" s="7">
        <f>-12.5*J4</f>
        <v>0</v>
      </c>
      <c r="M4" s="22">
        <v>1</v>
      </c>
      <c r="N4" s="5"/>
      <c r="O4" s="7">
        <f>-6.6*M4</f>
        <v>-6.6</v>
      </c>
      <c r="P4" s="21"/>
      <c r="Q4" s="38">
        <f t="shared" si="0"/>
        <v>0</v>
      </c>
      <c r="R4" s="39">
        <f t="shared" si="1"/>
        <v>64.233</v>
      </c>
    </row>
    <row r="5" spans="1:18" ht="12.75">
      <c r="A5" s="2">
        <v>3</v>
      </c>
      <c r="B5" s="43" t="s">
        <v>13</v>
      </c>
      <c r="C5" s="28">
        <v>0</v>
      </c>
      <c r="D5" s="22">
        <v>1</v>
      </c>
      <c r="E5" s="5">
        <v>100</v>
      </c>
      <c r="F5" s="7">
        <f aca="true" t="shared" si="2" ref="F5:F11">-16.667*D5</f>
        <v>-16.667</v>
      </c>
      <c r="G5" s="21">
        <v>1</v>
      </c>
      <c r="H5" s="5"/>
      <c r="I5" s="7">
        <f aca="true" t="shared" si="3" ref="I5:I17">-12.5*G5</f>
        <v>-12.5</v>
      </c>
      <c r="J5" s="22"/>
      <c r="K5" s="5"/>
      <c r="L5" s="7">
        <f>-12.5*J5</f>
        <v>0</v>
      </c>
      <c r="M5" s="22">
        <v>1</v>
      </c>
      <c r="N5" s="5"/>
      <c r="O5" s="7">
        <f aca="true" t="shared" si="4" ref="O5:O25">-6.67*M5</f>
        <v>-6.67</v>
      </c>
      <c r="P5" s="22"/>
      <c r="Q5" s="38">
        <f t="shared" si="0"/>
        <v>0</v>
      </c>
      <c r="R5" s="39">
        <f t="shared" si="1"/>
        <v>64.163</v>
      </c>
    </row>
    <row r="6" spans="1:20" ht="12.75">
      <c r="A6" s="2">
        <v>4</v>
      </c>
      <c r="B6" s="43" t="s">
        <v>20</v>
      </c>
      <c r="C6" s="28">
        <v>0</v>
      </c>
      <c r="D6" s="21">
        <v>1</v>
      </c>
      <c r="E6" s="5">
        <v>100</v>
      </c>
      <c r="F6" s="7">
        <f t="shared" si="2"/>
        <v>-16.667</v>
      </c>
      <c r="G6" s="21">
        <v>1</v>
      </c>
      <c r="H6" s="5"/>
      <c r="I6" s="7">
        <f t="shared" si="3"/>
        <v>-12.5</v>
      </c>
      <c r="J6" s="22">
        <v>1</v>
      </c>
      <c r="K6" s="5"/>
      <c r="L6" s="7">
        <f>-3.8*J6</f>
        <v>-3.8</v>
      </c>
      <c r="M6" s="22">
        <v>1</v>
      </c>
      <c r="N6" s="5"/>
      <c r="O6" s="7">
        <f t="shared" si="4"/>
        <v>-6.67</v>
      </c>
      <c r="P6" s="21"/>
      <c r="Q6" s="38">
        <f t="shared" si="0"/>
        <v>0</v>
      </c>
      <c r="R6" s="40">
        <f t="shared" si="1"/>
        <v>60.363</v>
      </c>
      <c r="T6" s="37"/>
    </row>
    <row r="7" spans="1:18" ht="12.75">
      <c r="A7" s="2">
        <v>5</v>
      </c>
      <c r="B7" s="43" t="s">
        <v>21</v>
      </c>
      <c r="C7" s="28">
        <v>0</v>
      </c>
      <c r="D7" s="22">
        <v>1</v>
      </c>
      <c r="E7" s="5">
        <v>100</v>
      </c>
      <c r="F7" s="7">
        <f t="shared" si="2"/>
        <v>-16.667</v>
      </c>
      <c r="G7" s="21">
        <v>1</v>
      </c>
      <c r="H7" s="5"/>
      <c r="I7" s="7">
        <f t="shared" si="3"/>
        <v>-12.5</v>
      </c>
      <c r="J7" s="22">
        <v>1</v>
      </c>
      <c r="K7" s="5"/>
      <c r="L7" s="7">
        <f aca="true" t="shared" si="5" ref="L7:L19">-3.85*J7</f>
        <v>-3.85</v>
      </c>
      <c r="M7" s="22"/>
      <c r="N7" s="5"/>
      <c r="O7" s="7">
        <f t="shared" si="4"/>
        <v>0</v>
      </c>
      <c r="P7" s="22"/>
      <c r="Q7" s="38">
        <f t="shared" si="0"/>
        <v>0</v>
      </c>
      <c r="R7" s="40">
        <f t="shared" si="1"/>
        <v>66.983</v>
      </c>
    </row>
    <row r="8" spans="1:18" ht="12.75">
      <c r="A8" s="2">
        <v>6</v>
      </c>
      <c r="B8" s="43" t="s">
        <v>22</v>
      </c>
      <c r="C8" s="28">
        <v>0</v>
      </c>
      <c r="D8" s="21">
        <v>1</v>
      </c>
      <c r="E8" s="5">
        <v>100</v>
      </c>
      <c r="F8" s="7">
        <f t="shared" si="2"/>
        <v>-16.667</v>
      </c>
      <c r="G8" s="21">
        <v>1</v>
      </c>
      <c r="H8" s="5"/>
      <c r="I8" s="7">
        <f t="shared" si="3"/>
        <v>-12.5</v>
      </c>
      <c r="J8" s="22">
        <v>1</v>
      </c>
      <c r="K8" s="5"/>
      <c r="L8" s="7">
        <f t="shared" si="5"/>
        <v>-3.85</v>
      </c>
      <c r="M8" s="22">
        <v>1</v>
      </c>
      <c r="N8" s="5"/>
      <c r="O8" s="7">
        <f t="shared" si="4"/>
        <v>-6.67</v>
      </c>
      <c r="P8" s="21"/>
      <c r="Q8" s="38">
        <f t="shared" si="0"/>
        <v>0</v>
      </c>
      <c r="R8" s="39">
        <f t="shared" si="1"/>
        <v>60.313</v>
      </c>
    </row>
    <row r="9" spans="1:18" ht="12.75">
      <c r="A9" s="2">
        <v>7</v>
      </c>
      <c r="B9" s="43" t="s">
        <v>14</v>
      </c>
      <c r="C9" s="28">
        <v>0</v>
      </c>
      <c r="D9" s="22">
        <v>1</v>
      </c>
      <c r="E9" s="5">
        <v>100</v>
      </c>
      <c r="F9" s="7">
        <f t="shared" si="2"/>
        <v>-16.667</v>
      </c>
      <c r="G9" s="21"/>
      <c r="H9" s="5"/>
      <c r="I9" s="7">
        <f t="shared" si="3"/>
        <v>0</v>
      </c>
      <c r="J9" s="22">
        <v>1</v>
      </c>
      <c r="K9" s="5"/>
      <c r="L9" s="7">
        <f t="shared" si="5"/>
        <v>-3.85</v>
      </c>
      <c r="M9" s="22"/>
      <c r="N9" s="5"/>
      <c r="O9" s="7">
        <f t="shared" si="4"/>
        <v>0</v>
      </c>
      <c r="P9" s="22"/>
      <c r="Q9" s="38">
        <f t="shared" si="0"/>
        <v>0</v>
      </c>
      <c r="R9" s="39">
        <f t="shared" si="1"/>
        <v>79.483</v>
      </c>
    </row>
    <row r="10" spans="1:18" ht="12.75">
      <c r="A10" s="2">
        <v>8</v>
      </c>
      <c r="B10" s="43" t="s">
        <v>23</v>
      </c>
      <c r="C10" s="28">
        <v>0</v>
      </c>
      <c r="D10" s="21">
        <v>1</v>
      </c>
      <c r="E10" s="5">
        <v>100</v>
      </c>
      <c r="F10" s="7">
        <f t="shared" si="2"/>
        <v>-16.667</v>
      </c>
      <c r="G10" s="21"/>
      <c r="H10" s="5"/>
      <c r="I10" s="7">
        <f t="shared" si="3"/>
        <v>0</v>
      </c>
      <c r="J10" s="22">
        <v>1</v>
      </c>
      <c r="K10" s="5"/>
      <c r="L10" s="7">
        <f t="shared" si="5"/>
        <v>-3.85</v>
      </c>
      <c r="M10" s="22">
        <v>1</v>
      </c>
      <c r="N10" s="5"/>
      <c r="O10" s="7">
        <f t="shared" si="4"/>
        <v>-6.67</v>
      </c>
      <c r="P10" s="21"/>
      <c r="Q10" s="38">
        <f t="shared" si="0"/>
        <v>0</v>
      </c>
      <c r="R10" s="39">
        <f t="shared" si="1"/>
        <v>72.813</v>
      </c>
    </row>
    <row r="11" spans="1:18" ht="12.75">
      <c r="A11" s="2">
        <v>9</v>
      </c>
      <c r="B11" s="43" t="s">
        <v>15</v>
      </c>
      <c r="C11" s="28">
        <v>0</v>
      </c>
      <c r="D11" s="22">
        <v>0</v>
      </c>
      <c r="E11" s="5"/>
      <c r="F11" s="7">
        <f t="shared" si="2"/>
        <v>0</v>
      </c>
      <c r="G11" s="21"/>
      <c r="H11" s="5"/>
      <c r="I11" s="7">
        <f t="shared" si="3"/>
        <v>0</v>
      </c>
      <c r="J11" s="22">
        <v>1</v>
      </c>
      <c r="K11" s="5"/>
      <c r="L11" s="7">
        <f t="shared" si="5"/>
        <v>-3.85</v>
      </c>
      <c r="M11" s="22">
        <v>1</v>
      </c>
      <c r="N11" s="5">
        <v>100</v>
      </c>
      <c r="O11" s="7">
        <f t="shared" si="4"/>
        <v>-6.67</v>
      </c>
      <c r="P11" s="22"/>
      <c r="Q11" s="38">
        <f t="shared" si="0"/>
        <v>0</v>
      </c>
      <c r="R11" s="39">
        <f t="shared" si="1"/>
        <v>89.48</v>
      </c>
    </row>
    <row r="12" spans="1:18" ht="12.75">
      <c r="A12" s="2">
        <v>10</v>
      </c>
      <c r="B12" s="43" t="s">
        <v>27</v>
      </c>
      <c r="C12" s="28">
        <v>0</v>
      </c>
      <c r="D12" s="21"/>
      <c r="E12" s="5"/>
      <c r="F12" s="7"/>
      <c r="G12" s="21">
        <v>1</v>
      </c>
      <c r="H12" s="5">
        <v>100</v>
      </c>
      <c r="I12" s="7">
        <f t="shared" si="3"/>
        <v>-12.5</v>
      </c>
      <c r="J12" s="22"/>
      <c r="K12" s="5"/>
      <c r="L12" s="7">
        <f t="shared" si="5"/>
        <v>0</v>
      </c>
      <c r="M12" s="22">
        <v>1</v>
      </c>
      <c r="N12" s="5"/>
      <c r="O12" s="7">
        <f t="shared" si="4"/>
        <v>-6.67</v>
      </c>
      <c r="P12" s="22"/>
      <c r="Q12" s="38">
        <f t="shared" si="0"/>
        <v>0</v>
      </c>
      <c r="R12" s="39">
        <f aca="true" t="shared" si="6" ref="R12:R17">C12+E12+F12+H12+I12+K12+L12+N12+O12+Q12</f>
        <v>80.83</v>
      </c>
    </row>
    <row r="13" spans="1:18" ht="12.75">
      <c r="A13" s="2">
        <v>11</v>
      </c>
      <c r="B13" s="43" t="s">
        <v>28</v>
      </c>
      <c r="C13" s="28">
        <v>0</v>
      </c>
      <c r="D13" s="22"/>
      <c r="E13" s="5"/>
      <c r="F13" s="7"/>
      <c r="G13" s="21">
        <v>1</v>
      </c>
      <c r="H13" s="5">
        <v>100</v>
      </c>
      <c r="I13" s="7">
        <f t="shared" si="3"/>
        <v>-12.5</v>
      </c>
      <c r="J13" s="22"/>
      <c r="K13" s="5"/>
      <c r="L13" s="7">
        <f t="shared" si="5"/>
        <v>0</v>
      </c>
      <c r="M13" s="22">
        <v>1</v>
      </c>
      <c r="N13" s="5"/>
      <c r="O13" s="7">
        <f t="shared" si="4"/>
        <v>-6.67</v>
      </c>
      <c r="P13" s="21"/>
      <c r="Q13" s="38">
        <f t="shared" si="0"/>
        <v>0</v>
      </c>
      <c r="R13" s="40">
        <f t="shared" si="6"/>
        <v>80.83</v>
      </c>
    </row>
    <row r="14" spans="1:18" ht="12.75">
      <c r="A14" s="2">
        <v>12</v>
      </c>
      <c r="B14" s="43" t="s">
        <v>29</v>
      </c>
      <c r="C14" s="28">
        <v>0</v>
      </c>
      <c r="D14" s="21"/>
      <c r="E14" s="5"/>
      <c r="F14" s="7"/>
      <c r="G14" s="21">
        <v>1</v>
      </c>
      <c r="H14" s="5">
        <v>100</v>
      </c>
      <c r="I14" s="7">
        <f t="shared" si="3"/>
        <v>-12.5</v>
      </c>
      <c r="J14" s="22">
        <v>1</v>
      </c>
      <c r="K14" s="5"/>
      <c r="L14" s="7">
        <f t="shared" si="5"/>
        <v>-3.85</v>
      </c>
      <c r="M14" s="22">
        <v>1</v>
      </c>
      <c r="N14" s="5"/>
      <c r="O14" s="7">
        <f t="shared" si="4"/>
        <v>-6.67</v>
      </c>
      <c r="P14" s="22"/>
      <c r="Q14" s="38">
        <f t="shared" si="0"/>
        <v>0</v>
      </c>
      <c r="R14" s="40">
        <f t="shared" si="6"/>
        <v>76.98</v>
      </c>
    </row>
    <row r="15" spans="1:18" ht="12.75">
      <c r="A15" s="2">
        <v>13</v>
      </c>
      <c r="B15" s="43" t="s">
        <v>30</v>
      </c>
      <c r="C15" s="28">
        <v>0</v>
      </c>
      <c r="D15" s="22"/>
      <c r="E15" s="5"/>
      <c r="F15" s="7"/>
      <c r="G15" s="21">
        <v>1</v>
      </c>
      <c r="H15" s="5">
        <v>100</v>
      </c>
      <c r="I15" s="7">
        <f t="shared" si="3"/>
        <v>-12.5</v>
      </c>
      <c r="J15" s="22">
        <v>1</v>
      </c>
      <c r="K15" s="5"/>
      <c r="L15" s="7">
        <f t="shared" si="5"/>
        <v>-3.85</v>
      </c>
      <c r="M15" s="22">
        <v>1</v>
      </c>
      <c r="N15" s="5"/>
      <c r="O15" s="7">
        <f t="shared" si="4"/>
        <v>-6.67</v>
      </c>
      <c r="P15" s="21"/>
      <c r="Q15" s="38">
        <f t="shared" si="0"/>
        <v>0</v>
      </c>
      <c r="R15" s="39">
        <f t="shared" si="6"/>
        <v>76.98</v>
      </c>
    </row>
    <row r="16" spans="1:18" ht="12.75">
      <c r="A16" s="2">
        <v>14</v>
      </c>
      <c r="B16" s="43" t="s">
        <v>31</v>
      </c>
      <c r="C16" s="28">
        <v>0</v>
      </c>
      <c r="D16" s="21"/>
      <c r="E16" s="5"/>
      <c r="F16" s="7"/>
      <c r="G16" s="21">
        <v>1</v>
      </c>
      <c r="H16" s="5">
        <v>0</v>
      </c>
      <c r="I16" s="7">
        <f t="shared" si="3"/>
        <v>-12.5</v>
      </c>
      <c r="J16" s="22">
        <v>1</v>
      </c>
      <c r="K16" s="5">
        <v>100</v>
      </c>
      <c r="L16" s="7">
        <f t="shared" si="5"/>
        <v>-3.85</v>
      </c>
      <c r="M16" s="22">
        <v>2</v>
      </c>
      <c r="N16" s="5"/>
      <c r="O16" s="7">
        <f t="shared" si="4"/>
        <v>-13.34</v>
      </c>
      <c r="P16" s="22"/>
      <c r="Q16" s="38">
        <f t="shared" si="0"/>
        <v>0</v>
      </c>
      <c r="R16" s="39">
        <f t="shared" si="6"/>
        <v>70.31</v>
      </c>
    </row>
    <row r="17" spans="1:18" ht="12.75">
      <c r="A17" s="2">
        <v>15</v>
      </c>
      <c r="B17" s="43" t="s">
        <v>32</v>
      </c>
      <c r="C17" s="28">
        <v>0</v>
      </c>
      <c r="D17" s="21"/>
      <c r="E17" s="5"/>
      <c r="F17" s="7"/>
      <c r="G17" s="21">
        <v>1</v>
      </c>
      <c r="H17" s="5">
        <v>100</v>
      </c>
      <c r="I17" s="7">
        <f t="shared" si="3"/>
        <v>-12.5</v>
      </c>
      <c r="J17" s="22">
        <v>1</v>
      </c>
      <c r="K17" s="5"/>
      <c r="L17" s="7">
        <f t="shared" si="5"/>
        <v>-3.85</v>
      </c>
      <c r="M17" s="22">
        <v>1</v>
      </c>
      <c r="N17" s="5"/>
      <c r="O17" s="7">
        <f t="shared" si="4"/>
        <v>-6.67</v>
      </c>
      <c r="P17" s="21"/>
      <c r="Q17" s="38">
        <f t="shared" si="0"/>
        <v>0</v>
      </c>
      <c r="R17" s="39">
        <f t="shared" si="6"/>
        <v>76.98</v>
      </c>
    </row>
    <row r="18" spans="1:18" ht="12.75">
      <c r="A18" s="2">
        <v>16</v>
      </c>
      <c r="B18" s="43" t="s">
        <v>34</v>
      </c>
      <c r="C18" s="28">
        <v>0</v>
      </c>
      <c r="D18" s="21"/>
      <c r="E18" s="5"/>
      <c r="F18" s="7"/>
      <c r="G18" s="21"/>
      <c r="H18" s="5"/>
      <c r="I18" s="7"/>
      <c r="J18" s="22">
        <v>1</v>
      </c>
      <c r="K18" s="5">
        <v>100</v>
      </c>
      <c r="L18" s="7">
        <f t="shared" si="5"/>
        <v>-3.85</v>
      </c>
      <c r="M18" s="22">
        <v>1</v>
      </c>
      <c r="N18" s="5"/>
      <c r="O18" s="7">
        <f t="shared" si="4"/>
        <v>-6.67</v>
      </c>
      <c r="P18" s="22"/>
      <c r="Q18" s="38">
        <f t="shared" si="0"/>
        <v>0</v>
      </c>
      <c r="R18" s="39">
        <f aca="true" t="shared" si="7" ref="R18:R24">C18+E18+F18+H18+I18+K18+L18+N18+O18+Q18</f>
        <v>89.48</v>
      </c>
    </row>
    <row r="19" spans="1:20" ht="12.75">
      <c r="A19" s="2">
        <v>17</v>
      </c>
      <c r="B19" s="43" t="s">
        <v>35</v>
      </c>
      <c r="C19" s="28">
        <v>0</v>
      </c>
      <c r="D19" s="42"/>
      <c r="E19" s="5"/>
      <c r="F19" s="7"/>
      <c r="G19" s="21"/>
      <c r="H19" s="5"/>
      <c r="I19" s="7"/>
      <c r="J19" s="22">
        <v>1</v>
      </c>
      <c r="K19" s="5">
        <v>100</v>
      </c>
      <c r="L19" s="7">
        <f t="shared" si="5"/>
        <v>-3.85</v>
      </c>
      <c r="M19" s="22"/>
      <c r="N19" s="5"/>
      <c r="O19" s="7">
        <f t="shared" si="4"/>
        <v>0</v>
      </c>
      <c r="P19" s="21"/>
      <c r="Q19" s="38">
        <f t="shared" si="0"/>
        <v>0</v>
      </c>
      <c r="R19" s="39">
        <f t="shared" si="7"/>
        <v>96.15</v>
      </c>
      <c r="T19" s="37"/>
    </row>
    <row r="20" spans="1:18" ht="12.75">
      <c r="A20" s="2">
        <v>18</v>
      </c>
      <c r="B20" s="43" t="s">
        <v>38</v>
      </c>
      <c r="C20" s="28">
        <v>0</v>
      </c>
      <c r="D20" s="21"/>
      <c r="E20" s="5"/>
      <c r="F20" s="7"/>
      <c r="G20" s="21"/>
      <c r="H20" s="5"/>
      <c r="I20" s="7"/>
      <c r="J20" s="22"/>
      <c r="K20" s="5"/>
      <c r="L20" s="7"/>
      <c r="M20" s="22">
        <v>1</v>
      </c>
      <c r="N20" s="5">
        <v>100</v>
      </c>
      <c r="O20" s="7">
        <f t="shared" si="4"/>
        <v>-6.67</v>
      </c>
      <c r="P20" s="22"/>
      <c r="Q20" s="38">
        <f t="shared" si="0"/>
        <v>0</v>
      </c>
      <c r="R20" s="39">
        <f t="shared" si="7"/>
        <v>93.33</v>
      </c>
    </row>
    <row r="21" spans="1:18" ht="12.75">
      <c r="A21" s="2">
        <v>19</v>
      </c>
      <c r="B21" s="43" t="s">
        <v>39</v>
      </c>
      <c r="C21" s="28">
        <v>0</v>
      </c>
      <c r="D21" s="22"/>
      <c r="E21" s="5"/>
      <c r="F21" s="7"/>
      <c r="G21" s="21"/>
      <c r="H21" s="20"/>
      <c r="I21" s="7"/>
      <c r="J21" s="22"/>
      <c r="K21" s="20"/>
      <c r="L21" s="7"/>
      <c r="M21" s="22">
        <v>1</v>
      </c>
      <c r="N21" s="20">
        <v>100</v>
      </c>
      <c r="O21" s="7">
        <f t="shared" si="4"/>
        <v>-6.67</v>
      </c>
      <c r="P21" s="21"/>
      <c r="Q21" s="38">
        <f t="shared" si="0"/>
        <v>0</v>
      </c>
      <c r="R21" s="39">
        <f t="shared" si="7"/>
        <v>93.33</v>
      </c>
    </row>
    <row r="22" spans="1:18" ht="12.75">
      <c r="A22" s="2">
        <v>20</v>
      </c>
      <c r="B22" s="43" t="s">
        <v>40</v>
      </c>
      <c r="C22" s="28">
        <v>0</v>
      </c>
      <c r="D22" s="21"/>
      <c r="E22" s="5"/>
      <c r="F22" s="7"/>
      <c r="G22" s="21"/>
      <c r="H22" s="20"/>
      <c r="I22" s="7"/>
      <c r="J22" s="22"/>
      <c r="K22" s="20"/>
      <c r="L22" s="7"/>
      <c r="M22" s="22">
        <v>1</v>
      </c>
      <c r="N22" s="20">
        <v>100</v>
      </c>
      <c r="O22" s="7">
        <f t="shared" si="4"/>
        <v>-6.67</v>
      </c>
      <c r="P22" s="22"/>
      <c r="Q22" s="38">
        <f t="shared" si="0"/>
        <v>0</v>
      </c>
      <c r="R22" s="39">
        <f t="shared" si="7"/>
        <v>93.33</v>
      </c>
    </row>
    <row r="23" spans="1:18" ht="12.75">
      <c r="A23" s="2">
        <v>21</v>
      </c>
      <c r="B23" s="43" t="s">
        <v>41</v>
      </c>
      <c r="C23" s="28">
        <v>0</v>
      </c>
      <c r="D23" s="22"/>
      <c r="E23" s="5"/>
      <c r="F23" s="7"/>
      <c r="G23" s="21"/>
      <c r="H23" s="20"/>
      <c r="I23" s="7"/>
      <c r="J23" s="22"/>
      <c r="K23" s="20"/>
      <c r="L23" s="7"/>
      <c r="M23" s="22">
        <v>1</v>
      </c>
      <c r="N23" s="20">
        <v>100</v>
      </c>
      <c r="O23" s="7">
        <f t="shared" si="4"/>
        <v>-6.67</v>
      </c>
      <c r="P23" s="21"/>
      <c r="Q23" s="38">
        <f t="shared" si="0"/>
        <v>0</v>
      </c>
      <c r="R23" s="39">
        <f t="shared" si="7"/>
        <v>93.33</v>
      </c>
    </row>
    <row r="24" spans="1:18" ht="12.75">
      <c r="A24" s="2">
        <v>22</v>
      </c>
      <c r="B24" s="43" t="s">
        <v>42</v>
      </c>
      <c r="C24" s="28">
        <v>0</v>
      </c>
      <c r="D24" s="21"/>
      <c r="E24" s="5"/>
      <c r="F24" s="7"/>
      <c r="G24" s="21"/>
      <c r="H24" s="20"/>
      <c r="I24" s="7"/>
      <c r="J24" s="22"/>
      <c r="K24" s="20"/>
      <c r="L24" s="7"/>
      <c r="M24" s="22">
        <v>1</v>
      </c>
      <c r="N24" s="20">
        <v>100</v>
      </c>
      <c r="O24" s="7">
        <f t="shared" si="4"/>
        <v>-6.67</v>
      </c>
      <c r="P24" s="22"/>
      <c r="Q24" s="38">
        <f t="shared" si="0"/>
        <v>0</v>
      </c>
      <c r="R24" s="39">
        <f t="shared" si="7"/>
        <v>93.33</v>
      </c>
    </row>
    <row r="25" spans="1:18" ht="12.75">
      <c r="A25" s="2">
        <v>23</v>
      </c>
      <c r="B25" s="43" t="s">
        <v>45</v>
      </c>
      <c r="C25" s="28">
        <v>0</v>
      </c>
      <c r="D25" s="22"/>
      <c r="E25" s="5"/>
      <c r="F25" s="7"/>
      <c r="G25" s="21"/>
      <c r="H25" s="20"/>
      <c r="I25" s="7"/>
      <c r="J25" s="22"/>
      <c r="K25" s="20"/>
      <c r="L25" s="7"/>
      <c r="M25" s="21">
        <v>1</v>
      </c>
      <c r="N25" s="20">
        <v>0</v>
      </c>
      <c r="O25" s="7">
        <f t="shared" si="4"/>
        <v>-6.67</v>
      </c>
      <c r="P25" s="22"/>
      <c r="Q25" s="38">
        <f t="shared" si="0"/>
        <v>0</v>
      </c>
      <c r="R25" s="39">
        <f>C25+E25+F25+H25+I25+K25+L25+N25+O25+Q25</f>
        <v>-6.67</v>
      </c>
    </row>
    <row r="26" spans="1:18" ht="12.75">
      <c r="A26" s="2">
        <v>24</v>
      </c>
      <c r="B26" s="43"/>
      <c r="C26" s="28"/>
      <c r="D26" s="21"/>
      <c r="E26" s="5"/>
      <c r="F26" s="7"/>
      <c r="G26" s="21"/>
      <c r="H26" s="5"/>
      <c r="I26" s="7"/>
      <c r="J26" s="22"/>
      <c r="K26" s="5"/>
      <c r="L26" s="7"/>
      <c r="M26" s="21"/>
      <c r="N26" s="5"/>
      <c r="O26" s="7"/>
      <c r="P26" s="21"/>
      <c r="Q26" s="38"/>
      <c r="R26" s="39"/>
    </row>
    <row r="27" spans="1:18" ht="12.75">
      <c r="A27" s="2">
        <v>25</v>
      </c>
      <c r="B27" s="43"/>
      <c r="C27" s="28"/>
      <c r="D27" s="22"/>
      <c r="E27" s="20"/>
      <c r="F27" s="7"/>
      <c r="G27" s="21"/>
      <c r="H27" s="20"/>
      <c r="I27" s="7"/>
      <c r="J27" s="22"/>
      <c r="K27" s="20"/>
      <c r="L27" s="7"/>
      <c r="M27" s="21"/>
      <c r="N27" s="20"/>
      <c r="O27" s="7"/>
      <c r="P27" s="22"/>
      <c r="Q27" s="38"/>
      <c r="R27" s="39"/>
    </row>
    <row r="28" spans="1:18" ht="12.75">
      <c r="A28" s="2">
        <v>26</v>
      </c>
      <c r="B28" s="43"/>
      <c r="C28" s="28"/>
      <c r="D28" s="21"/>
      <c r="E28" s="20"/>
      <c r="F28" s="7"/>
      <c r="G28" s="21"/>
      <c r="H28" s="20"/>
      <c r="I28" s="7"/>
      <c r="J28" s="22"/>
      <c r="K28" s="20"/>
      <c r="L28" s="7"/>
      <c r="M28" s="22"/>
      <c r="N28" s="20"/>
      <c r="O28" s="7"/>
      <c r="P28" s="21"/>
      <c r="Q28" s="38"/>
      <c r="R28" s="39"/>
    </row>
    <row r="29" spans="1:18" ht="12.75">
      <c r="A29" s="2">
        <v>27</v>
      </c>
      <c r="B29" s="43"/>
      <c r="C29" s="28"/>
      <c r="D29" s="22"/>
      <c r="E29" s="20"/>
      <c r="F29" s="7"/>
      <c r="G29" s="21"/>
      <c r="H29" s="20"/>
      <c r="I29" s="7"/>
      <c r="J29" s="22"/>
      <c r="K29" s="20"/>
      <c r="L29" s="7"/>
      <c r="M29" s="22"/>
      <c r="N29" s="20"/>
      <c r="O29" s="7"/>
      <c r="P29" s="22"/>
      <c r="Q29" s="38"/>
      <c r="R29" s="39"/>
    </row>
    <row r="30" spans="1:18" ht="12.75">
      <c r="A30" s="2">
        <v>28</v>
      </c>
      <c r="B30" s="43"/>
      <c r="C30" s="28"/>
      <c r="D30" s="21"/>
      <c r="E30" s="20"/>
      <c r="F30" s="7"/>
      <c r="G30" s="21"/>
      <c r="H30" s="20"/>
      <c r="I30" s="7"/>
      <c r="J30" s="22"/>
      <c r="K30" s="20"/>
      <c r="L30" s="7"/>
      <c r="M30" s="22"/>
      <c r="N30" s="20"/>
      <c r="O30" s="7"/>
      <c r="P30" s="21"/>
      <c r="Q30" s="38"/>
      <c r="R30" s="39"/>
    </row>
    <row r="31" spans="1:18" ht="12.75">
      <c r="A31" s="2">
        <v>29</v>
      </c>
      <c r="B31" s="43"/>
      <c r="C31" s="28"/>
      <c r="D31" s="22"/>
      <c r="E31" s="20"/>
      <c r="F31" s="7"/>
      <c r="G31" s="21"/>
      <c r="H31" s="20"/>
      <c r="I31" s="7"/>
      <c r="J31" s="22"/>
      <c r="K31" s="20"/>
      <c r="L31" s="7"/>
      <c r="M31" s="22"/>
      <c r="N31" s="20"/>
      <c r="O31" s="7"/>
      <c r="P31" s="22"/>
      <c r="Q31" s="38"/>
      <c r="R31" s="39"/>
    </row>
    <row r="32" spans="1:18" ht="12.75">
      <c r="A32" s="2">
        <v>30</v>
      </c>
      <c r="B32" s="43"/>
      <c r="C32" s="28"/>
      <c r="D32" s="21"/>
      <c r="E32" s="20"/>
      <c r="F32" s="7"/>
      <c r="G32" s="21"/>
      <c r="H32" s="20"/>
      <c r="I32" s="7"/>
      <c r="J32" s="22"/>
      <c r="K32" s="20"/>
      <c r="L32" s="7"/>
      <c r="M32" s="22"/>
      <c r="N32" s="20"/>
      <c r="O32" s="7"/>
      <c r="P32" s="21"/>
      <c r="Q32" s="38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39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23</v>
      </c>
      <c r="D54" s="1">
        <f>COUNTA(D3:D53)</f>
        <v>9</v>
      </c>
      <c r="F54" s="1">
        <f>E65/D54</f>
        <v>16.666666666666668</v>
      </c>
      <c r="G54" s="1">
        <f>SUM(G3:G53)</f>
        <v>12</v>
      </c>
      <c r="I54" s="1">
        <f>H65/G54</f>
        <v>12.5</v>
      </c>
      <c r="J54" s="1">
        <f>SUM(J3:J53)</f>
        <v>13</v>
      </c>
      <c r="L54" s="1">
        <f>K65/J54</f>
        <v>3.8461538461538463</v>
      </c>
      <c r="M54" s="1">
        <f>SUM(M3:M53)</f>
        <v>21</v>
      </c>
      <c r="O54" s="36">
        <f>N65/M54</f>
        <v>6.666666666666667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12</v>
      </c>
      <c r="C57" s="1">
        <v>0</v>
      </c>
      <c r="E57" s="41"/>
      <c r="H57" s="41"/>
      <c r="K57" s="41"/>
      <c r="N57" s="41"/>
      <c r="R57" s="24"/>
    </row>
    <row r="58" spans="16:18" ht="12.75">
      <c r="P58" s="151" t="s">
        <v>8</v>
      </c>
      <c r="Q58" s="151"/>
      <c r="R58" s="56">
        <f>SUM(R3:R52)</f>
        <v>1709.9969999999998</v>
      </c>
    </row>
    <row r="59" spans="4:15" ht="12.75" customHeight="1">
      <c r="D59" s="143" t="s">
        <v>16</v>
      </c>
      <c r="E59" s="144"/>
      <c r="F59" s="145"/>
      <c r="G59" s="143" t="s">
        <v>26</v>
      </c>
      <c r="H59" s="144"/>
      <c r="I59" s="145"/>
      <c r="J59" s="143" t="s">
        <v>36</v>
      </c>
      <c r="K59" s="144"/>
      <c r="L59" s="145"/>
      <c r="M59" s="143" t="s">
        <v>36</v>
      </c>
      <c r="N59" s="144"/>
      <c r="O59" s="145"/>
    </row>
    <row r="60" spans="4:15" ht="12.75">
      <c r="D60" s="146"/>
      <c r="E60" s="147"/>
      <c r="F60" s="148"/>
      <c r="G60" s="146"/>
      <c r="H60" s="147"/>
      <c r="I60" s="148"/>
      <c r="J60" s="146"/>
      <c r="K60" s="147"/>
      <c r="L60" s="148"/>
      <c r="M60" s="146"/>
      <c r="N60" s="147"/>
      <c r="O60" s="148"/>
    </row>
    <row r="61" spans="4:15" ht="12.75">
      <c r="D61" s="146"/>
      <c r="E61" s="147"/>
      <c r="F61" s="148"/>
      <c r="G61" s="146"/>
      <c r="H61" s="147"/>
      <c r="I61" s="148"/>
      <c r="J61" s="146"/>
      <c r="K61" s="147"/>
      <c r="L61" s="148"/>
      <c r="M61" s="146"/>
      <c r="N61" s="147"/>
      <c r="O61" s="148"/>
    </row>
    <row r="62" spans="4:15" ht="12.75">
      <c r="D62" s="146"/>
      <c r="E62" s="147"/>
      <c r="F62" s="148"/>
      <c r="G62" s="146"/>
      <c r="H62" s="147"/>
      <c r="I62" s="148"/>
      <c r="J62" s="146"/>
      <c r="K62" s="147"/>
      <c r="L62" s="148"/>
      <c r="M62" s="146"/>
      <c r="N62" s="147"/>
      <c r="O62" s="148"/>
    </row>
    <row r="63" spans="4:15" ht="12.75">
      <c r="D63" s="146"/>
      <c r="E63" s="147"/>
      <c r="F63" s="148"/>
      <c r="G63" s="146"/>
      <c r="H63" s="147"/>
      <c r="I63" s="148"/>
      <c r="J63" s="146"/>
      <c r="K63" s="147"/>
      <c r="L63" s="148"/>
      <c r="M63" s="146"/>
      <c r="N63" s="147"/>
      <c r="O63" s="148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v>150</v>
      </c>
      <c r="F65" s="51"/>
      <c r="G65" s="52" t="s">
        <v>19</v>
      </c>
      <c r="H65" s="50">
        <v>150</v>
      </c>
      <c r="I65" s="51"/>
      <c r="J65" s="52" t="s">
        <v>19</v>
      </c>
      <c r="K65" s="50">
        <v>50</v>
      </c>
      <c r="L65" s="51"/>
      <c r="M65" s="52" t="s">
        <v>19</v>
      </c>
      <c r="N65" s="50">
        <f>150-10</f>
        <v>140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ht="12.75">
      <c r="D69" s="37" t="s">
        <v>24</v>
      </c>
    </row>
    <row r="71" spans="4:15" ht="12.75" customHeight="1">
      <c r="D71" s="149" t="s">
        <v>25</v>
      </c>
      <c r="E71" s="150"/>
      <c r="F71" s="150"/>
      <c r="G71" s="149" t="s">
        <v>33</v>
      </c>
      <c r="H71" s="150"/>
      <c r="I71" s="150"/>
      <c r="J71" s="149" t="s">
        <v>43</v>
      </c>
      <c r="K71" s="150"/>
      <c r="L71" s="150"/>
      <c r="M71" s="149" t="s">
        <v>62</v>
      </c>
      <c r="N71" s="150"/>
      <c r="O71" s="150"/>
    </row>
    <row r="72" spans="4:15" ht="12.75"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</row>
    <row r="73" spans="4:15" ht="12.75"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</row>
    <row r="74" spans="10:15" ht="12.75">
      <c r="J74" s="149" t="s">
        <v>37</v>
      </c>
      <c r="K74" s="150"/>
      <c r="L74" s="150"/>
      <c r="M74" s="149" t="s">
        <v>44</v>
      </c>
      <c r="N74" s="150"/>
      <c r="O74" s="150"/>
    </row>
    <row r="75" spans="10:15" ht="12.75">
      <c r="J75" s="150"/>
      <c r="K75" s="150"/>
      <c r="L75" s="150"/>
      <c r="M75" s="150"/>
      <c r="N75" s="150"/>
      <c r="O75" s="150"/>
    </row>
    <row r="76" spans="10:15" ht="12.75">
      <c r="J76" s="150"/>
      <c r="K76" s="150"/>
      <c r="L76" s="150"/>
      <c r="M76" s="150"/>
      <c r="N76" s="150"/>
      <c r="O76" s="150"/>
    </row>
  </sheetData>
  <sheetProtection/>
  <mergeCells count="11">
    <mergeCell ref="M71:O73"/>
    <mergeCell ref="M74:O76"/>
    <mergeCell ref="J74:L76"/>
    <mergeCell ref="P58:Q58"/>
    <mergeCell ref="J59:L63"/>
    <mergeCell ref="J71:L73"/>
    <mergeCell ref="M59:O63"/>
    <mergeCell ref="D59:F63"/>
    <mergeCell ref="D71:F73"/>
    <mergeCell ref="G59:I63"/>
    <mergeCell ref="G71:I7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4">
      <selection activeCell="H22" sqref="H2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39935</v>
      </c>
      <c r="E1" s="158"/>
      <c r="F1" s="159"/>
      <c r="G1" s="18"/>
      <c r="H1" s="32">
        <v>39942</v>
      </c>
      <c r="I1" s="19"/>
      <c r="J1" s="44"/>
      <c r="K1" s="32">
        <v>39949</v>
      </c>
      <c r="L1" s="45"/>
      <c r="M1" s="18"/>
      <c r="N1" s="32">
        <v>39956</v>
      </c>
      <c r="O1" s="19"/>
      <c r="P1" s="18"/>
      <c r="Q1" s="32">
        <v>39962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'2009年4月'!U3</f>
        <v>109.87629999999999</v>
      </c>
      <c r="D3" s="68">
        <v>1</v>
      </c>
      <c r="E3" s="69"/>
      <c r="F3" s="70">
        <f>-9.2857*D3</f>
        <v>-9.2857</v>
      </c>
      <c r="G3" s="68">
        <v>1</v>
      </c>
      <c r="H3" s="69"/>
      <c r="I3" s="70">
        <f>-6.6667*G3</f>
        <v>-6.6667</v>
      </c>
      <c r="J3" s="68"/>
      <c r="K3" s="69"/>
      <c r="L3" s="70"/>
      <c r="M3" s="68"/>
      <c r="N3" s="69"/>
      <c r="O3" s="70">
        <f>-6.5217*M3</f>
        <v>0</v>
      </c>
      <c r="P3" s="68">
        <v>1</v>
      </c>
      <c r="Q3" s="69"/>
      <c r="R3" s="70">
        <f>-8.8235*P3</f>
        <v>-8.8235</v>
      </c>
      <c r="S3" s="68"/>
      <c r="T3" s="72"/>
      <c r="U3" s="101">
        <f aca="true" t="shared" si="0" ref="U3:U34">C3+E3+F3+H3+I3+K3+L3+N3+O3+T3+Q3+R3</f>
        <v>85.10039999999998</v>
      </c>
    </row>
    <row r="4" spans="1:21" ht="12.75">
      <c r="A4" s="2">
        <v>2</v>
      </c>
      <c r="B4" s="100" t="s">
        <v>3</v>
      </c>
      <c r="C4" s="67">
        <f>'2009年4月'!U4</f>
        <v>91.2057</v>
      </c>
      <c r="D4" s="68"/>
      <c r="E4" s="69"/>
      <c r="F4" s="70">
        <f aca="true" t="shared" si="1" ref="F4:F53">-9.2857*D4</f>
        <v>0</v>
      </c>
      <c r="G4" s="68"/>
      <c r="H4" s="69"/>
      <c r="I4" s="70">
        <f aca="true" t="shared" si="2" ref="I4:I53">-6.6667*G4</f>
        <v>0</v>
      </c>
      <c r="J4" s="68"/>
      <c r="K4" s="69"/>
      <c r="L4" s="70"/>
      <c r="M4" s="68">
        <v>1</v>
      </c>
      <c r="N4" s="69"/>
      <c r="O4" s="70">
        <f aca="true" t="shared" si="3" ref="O4:O53">-6.5217*M4</f>
        <v>-6.5217</v>
      </c>
      <c r="P4" s="68"/>
      <c r="Q4" s="69"/>
      <c r="R4" s="70">
        <f aca="true" t="shared" si="4" ref="R4:R53">-8.8235*P4</f>
        <v>0</v>
      </c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'2009年4月'!U5</f>
        <v>83.7543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>
        <v>1</v>
      </c>
      <c r="N5" s="69"/>
      <c r="O5" s="70">
        <f t="shared" si="3"/>
        <v>-6.5217</v>
      </c>
      <c r="P5" s="68"/>
      <c r="Q5" s="69"/>
      <c r="R5" s="70">
        <f t="shared" si="4"/>
        <v>0</v>
      </c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'2009年4月'!U6</f>
        <v>65.9282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>
        <v>1</v>
      </c>
      <c r="Q6" s="76"/>
      <c r="R6" s="77">
        <f t="shared" si="4"/>
        <v>-8.8235</v>
      </c>
      <c r="S6" s="80"/>
      <c r="T6" s="79"/>
      <c r="U6" s="101">
        <f t="shared" si="0"/>
        <v>57.10470000000001</v>
      </c>
      <c r="W6" s="37"/>
    </row>
    <row r="7" spans="1:21" ht="12.75">
      <c r="A7" s="2">
        <v>5</v>
      </c>
      <c r="B7" s="103" t="s">
        <v>408</v>
      </c>
      <c r="C7" s="74">
        <f>'2009年4月'!U7</f>
        <v>102.6949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>
        <v>1</v>
      </c>
      <c r="N7" s="76"/>
      <c r="O7" s="77">
        <f t="shared" si="3"/>
        <v>-6.5217</v>
      </c>
      <c r="P7" s="75">
        <v>1</v>
      </c>
      <c r="Q7" s="76"/>
      <c r="R7" s="77">
        <f t="shared" si="4"/>
        <v>-8.8235</v>
      </c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'2009年4月'!U8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'2009年4月'!U9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'2009年4月'!U10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'2009年4月'!U11</f>
        <v>84.48</v>
      </c>
      <c r="D11" s="89"/>
      <c r="E11" s="90"/>
      <c r="F11" s="91">
        <f t="shared" si="1"/>
        <v>0</v>
      </c>
      <c r="G11" s="89">
        <v>1</v>
      </c>
      <c r="H11" s="90"/>
      <c r="I11" s="91">
        <f t="shared" si="2"/>
        <v>-6.6667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'2009年4月'!U12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'2009年4月'!U13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'2009年4月'!U14</f>
        <v>55.99849999999999</v>
      </c>
      <c r="D14" s="82">
        <v>1</v>
      </c>
      <c r="E14" s="83"/>
      <c r="F14" s="84">
        <f t="shared" si="1"/>
        <v>-9.2857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'2009年4月'!U15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'2009年4月'!U16</f>
        <v>48.1648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>
        <v>1</v>
      </c>
      <c r="N16" s="62"/>
      <c r="O16" s="63">
        <f t="shared" si="3"/>
        <v>-6.5217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'2009年4月'!U17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'2009年4月'!U18</f>
        <v>83.52109999999999</v>
      </c>
      <c r="D18" s="68">
        <v>1</v>
      </c>
      <c r="E18" s="69"/>
      <c r="F18" s="70">
        <f t="shared" si="1"/>
        <v>-9.2857</v>
      </c>
      <c r="G18" s="68">
        <v>2</v>
      </c>
      <c r="H18" s="69"/>
      <c r="I18" s="70">
        <f t="shared" si="2"/>
        <v>-13.3334</v>
      </c>
      <c r="J18" s="68"/>
      <c r="K18" s="69"/>
      <c r="L18" s="70"/>
      <c r="M18" s="68">
        <v>2</v>
      </c>
      <c r="N18" s="69"/>
      <c r="O18" s="70">
        <f t="shared" si="3"/>
        <v>-13.0434</v>
      </c>
      <c r="P18" s="68">
        <v>1</v>
      </c>
      <c r="Q18" s="69"/>
      <c r="R18" s="70">
        <f t="shared" si="4"/>
        <v>-8.8235</v>
      </c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'2009年4月'!U19</f>
        <v>16.7706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-13.3334</v>
      </c>
      <c r="J19" s="68"/>
      <c r="K19" s="69"/>
      <c r="L19" s="70"/>
      <c r="M19" s="68">
        <v>1</v>
      </c>
      <c r="N19" s="69"/>
      <c r="O19" s="70">
        <f t="shared" si="3"/>
        <v>-6.5217</v>
      </c>
      <c r="P19" s="68"/>
      <c r="Q19" s="69"/>
      <c r="R19" s="70">
        <f t="shared" si="4"/>
        <v>0</v>
      </c>
      <c r="S19" s="73"/>
      <c r="T19" s="72"/>
      <c r="U19" s="101">
        <f t="shared" si="0"/>
        <v>-3.0844999999999976</v>
      </c>
      <c r="W19" s="37"/>
    </row>
    <row r="20" spans="1:21" ht="12.75">
      <c r="A20" s="2">
        <v>18</v>
      </c>
      <c r="B20" s="102" t="s">
        <v>421</v>
      </c>
      <c r="C20" s="67">
        <f>'2009年4月'!U20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'2009年4月'!U21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'2009年4月'!U22</f>
        <v>68.06939999999999</v>
      </c>
      <c r="D22" s="75">
        <v>1</v>
      </c>
      <c r="E22" s="76"/>
      <c r="F22" s="77">
        <f t="shared" si="1"/>
        <v>-9.2857</v>
      </c>
      <c r="G22" s="75">
        <v>1</v>
      </c>
      <c r="H22" s="76"/>
      <c r="I22" s="77">
        <f t="shared" si="2"/>
        <v>-6.6667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'2009年4月'!U23</f>
        <v>25.457299999999996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-8.8235</v>
      </c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'2009年4月'!U24</f>
        <v>31.853999999999992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-6.6667</v>
      </c>
      <c r="J24" s="89"/>
      <c r="K24" s="90"/>
      <c r="L24" s="91"/>
      <c r="M24" s="89">
        <v>1</v>
      </c>
      <c r="N24" s="90"/>
      <c r="O24" s="91">
        <f t="shared" si="3"/>
        <v>-6.5217</v>
      </c>
      <c r="P24" s="89"/>
      <c r="Q24" s="90"/>
      <c r="R24" s="91">
        <f t="shared" si="4"/>
        <v>0</v>
      </c>
      <c r="S24" s="89"/>
      <c r="T24" s="93"/>
      <c r="U24" s="101">
        <f t="shared" si="0"/>
        <v>18.665599999999994</v>
      </c>
    </row>
    <row r="25" spans="1:21" ht="12.75">
      <c r="A25" s="2">
        <v>23</v>
      </c>
      <c r="B25" s="106" t="s">
        <v>426</v>
      </c>
      <c r="C25" s="88">
        <f>'2009年4月'!U25</f>
        <v>68.34929999999999</v>
      </c>
      <c r="D25" s="89">
        <v>1</v>
      </c>
      <c r="E25" s="90"/>
      <c r="F25" s="91">
        <f t="shared" si="1"/>
        <v>-9.2857</v>
      </c>
      <c r="G25" s="89">
        <v>1</v>
      </c>
      <c r="H25" s="90"/>
      <c r="I25" s="91">
        <f t="shared" si="2"/>
        <v>-6.6667</v>
      </c>
      <c r="J25" s="89"/>
      <c r="K25" s="90"/>
      <c r="L25" s="91"/>
      <c r="M25" s="89">
        <v>1</v>
      </c>
      <c r="N25" s="90"/>
      <c r="O25" s="91">
        <f t="shared" si="3"/>
        <v>-6.5217</v>
      </c>
      <c r="P25" s="89">
        <v>1</v>
      </c>
      <c r="Q25" s="90"/>
      <c r="R25" s="91">
        <f t="shared" si="4"/>
        <v>-8.8235</v>
      </c>
      <c r="S25" s="89"/>
      <c r="T25" s="93"/>
      <c r="U25" s="101">
        <f t="shared" si="0"/>
        <v>37.05169999999998</v>
      </c>
    </row>
    <row r="26" spans="1:21" ht="12.75">
      <c r="A26" s="2">
        <v>24</v>
      </c>
      <c r="B26" s="106" t="s">
        <v>427</v>
      </c>
      <c r="C26" s="88">
        <f>'2009年4月'!U26</f>
        <v>62.157499999999985</v>
      </c>
      <c r="D26" s="89">
        <v>1</v>
      </c>
      <c r="E26" s="90"/>
      <c r="F26" s="91">
        <f t="shared" si="1"/>
        <v>-9.2857</v>
      </c>
      <c r="G26" s="89">
        <v>1</v>
      </c>
      <c r="H26" s="90"/>
      <c r="I26" s="91">
        <f t="shared" si="2"/>
        <v>-6.6667</v>
      </c>
      <c r="J26" s="89"/>
      <c r="K26" s="90"/>
      <c r="L26" s="91"/>
      <c r="M26" s="89">
        <v>1</v>
      </c>
      <c r="N26" s="90"/>
      <c r="O26" s="91">
        <f t="shared" si="3"/>
        <v>-6.5217</v>
      </c>
      <c r="P26" s="89">
        <v>1</v>
      </c>
      <c r="Q26" s="90"/>
      <c r="R26" s="91">
        <f t="shared" si="4"/>
        <v>-8.8235</v>
      </c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'2009年4月'!U27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'2009年4月'!U28</f>
        <v>-18.936400000000013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-6.6667</v>
      </c>
      <c r="J28" s="86"/>
      <c r="K28" s="98"/>
      <c r="L28" s="84"/>
      <c r="M28" s="86">
        <v>1</v>
      </c>
      <c r="N28" s="98">
        <v>50</v>
      </c>
      <c r="O28" s="84">
        <f t="shared" si="3"/>
        <v>-6.5217</v>
      </c>
      <c r="P28" s="86">
        <v>1</v>
      </c>
      <c r="Q28" s="98"/>
      <c r="R28" s="84">
        <f t="shared" si="4"/>
        <v>-8.8235</v>
      </c>
      <c r="S28" s="86"/>
      <c r="T28" s="87"/>
      <c r="U28" s="101">
        <f t="shared" si="0"/>
        <v>9.05169999999999</v>
      </c>
    </row>
    <row r="29" spans="1:21" ht="12.75">
      <c r="A29" s="2">
        <v>27</v>
      </c>
      <c r="B29" s="104" t="s">
        <v>430</v>
      </c>
      <c r="C29" s="81">
        <f>'2009年4月'!U29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'2009年4月'!U30</f>
        <v>36.10099999999999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-6.6667</v>
      </c>
      <c r="J30" s="66"/>
      <c r="K30" s="99"/>
      <c r="L30" s="63"/>
      <c r="M30" s="66">
        <v>1</v>
      </c>
      <c r="N30" s="99"/>
      <c r="O30" s="63">
        <f t="shared" si="3"/>
        <v>-6.5217</v>
      </c>
      <c r="P30" s="66">
        <v>1</v>
      </c>
      <c r="Q30" s="99"/>
      <c r="R30" s="63">
        <f t="shared" si="4"/>
        <v>-8.8235</v>
      </c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'2009年4月'!U31</f>
        <v>-26.676500000000004</v>
      </c>
      <c r="D31" s="61">
        <v>1</v>
      </c>
      <c r="E31" s="99">
        <v>100</v>
      </c>
      <c r="F31" s="63">
        <f>-9.2857*D31-10</f>
        <v>-19.2857</v>
      </c>
      <c r="G31" s="61">
        <v>1</v>
      </c>
      <c r="H31" s="99"/>
      <c r="I31" s="63">
        <f>-6.6667*G31-10</f>
        <v>-16.6667</v>
      </c>
      <c r="J31" s="61"/>
      <c r="K31" s="99"/>
      <c r="L31" s="63"/>
      <c r="M31" s="61">
        <v>1</v>
      </c>
      <c r="N31" s="99"/>
      <c r="O31" s="63">
        <f t="shared" si="3"/>
        <v>-6.5217</v>
      </c>
      <c r="P31" s="61"/>
      <c r="Q31" s="99"/>
      <c r="R31" s="63">
        <f t="shared" si="4"/>
        <v>0</v>
      </c>
      <c r="S31" s="61"/>
      <c r="T31" s="65"/>
      <c r="U31" s="101">
        <f t="shared" si="0"/>
        <v>30.8494</v>
      </c>
    </row>
    <row r="32" spans="1:21" ht="12.75">
      <c r="A32" s="2">
        <v>30</v>
      </c>
      <c r="B32" s="105" t="s">
        <v>433</v>
      </c>
      <c r="C32" s="60">
        <f>'2009年4月'!U32</f>
        <v>59.28539999999998</v>
      </c>
      <c r="D32" s="66">
        <v>1</v>
      </c>
      <c r="E32" s="99"/>
      <c r="F32" s="63">
        <f t="shared" si="1"/>
        <v>-9.2857</v>
      </c>
      <c r="G32" s="66"/>
      <c r="H32" s="99"/>
      <c r="I32" s="63">
        <f t="shared" si="2"/>
        <v>0</v>
      </c>
      <c r="J32" s="66"/>
      <c r="K32" s="99"/>
      <c r="L32" s="63"/>
      <c r="M32" s="66">
        <v>1</v>
      </c>
      <c r="N32" s="99"/>
      <c r="O32" s="63">
        <f t="shared" si="3"/>
        <v>-6.5217</v>
      </c>
      <c r="P32" s="66">
        <v>1</v>
      </c>
      <c r="Q32" s="99"/>
      <c r="R32" s="63">
        <f t="shared" si="4"/>
        <v>-8.8235</v>
      </c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'2009年4月'!U33</f>
        <v>23.804000000000002</v>
      </c>
      <c r="D33" s="68">
        <v>1</v>
      </c>
      <c r="E33" s="69"/>
      <c r="F33" s="70">
        <f t="shared" si="1"/>
        <v>-9.2857</v>
      </c>
      <c r="G33" s="68">
        <v>1</v>
      </c>
      <c r="H33" s="69">
        <v>100</v>
      </c>
      <c r="I33" s="70">
        <f t="shared" si="2"/>
        <v>-6.6667</v>
      </c>
      <c r="J33" s="68"/>
      <c r="K33" s="69"/>
      <c r="L33" s="70"/>
      <c r="M33" s="68">
        <v>1</v>
      </c>
      <c r="N33" s="69"/>
      <c r="O33" s="70">
        <f t="shared" si="3"/>
        <v>-6.5217</v>
      </c>
      <c r="P33" s="68"/>
      <c r="Q33" s="69"/>
      <c r="R33" s="70">
        <f t="shared" si="4"/>
        <v>0</v>
      </c>
      <c r="S33" s="68"/>
      <c r="T33" s="72"/>
      <c r="U33" s="101">
        <f t="shared" si="0"/>
        <v>101.3299</v>
      </c>
    </row>
    <row r="34" spans="1:21" ht="12.75">
      <c r="A34" s="2">
        <v>32</v>
      </c>
      <c r="B34" s="102" t="s">
        <v>435</v>
      </c>
      <c r="C34" s="67">
        <f>'2009年4月'!U34</f>
        <v>82.31629999999998</v>
      </c>
      <c r="D34" s="68">
        <v>1</v>
      </c>
      <c r="E34" s="69"/>
      <c r="F34" s="70">
        <f t="shared" si="1"/>
        <v>-9.2857</v>
      </c>
      <c r="G34" s="68">
        <v>1</v>
      </c>
      <c r="H34" s="69"/>
      <c r="I34" s="70">
        <f t="shared" si="2"/>
        <v>-6.6667</v>
      </c>
      <c r="J34" s="68"/>
      <c r="K34" s="69"/>
      <c r="L34" s="70"/>
      <c r="M34" s="68">
        <v>1</v>
      </c>
      <c r="N34" s="69"/>
      <c r="O34" s="70">
        <f t="shared" si="3"/>
        <v>-6.5217</v>
      </c>
      <c r="P34" s="68">
        <v>1</v>
      </c>
      <c r="Q34" s="69"/>
      <c r="R34" s="70">
        <f t="shared" si="4"/>
        <v>-8.8235</v>
      </c>
      <c r="S34" s="73"/>
      <c r="T34" s="72"/>
      <c r="U34" s="101">
        <f t="shared" si="0"/>
        <v>51.01869999999997</v>
      </c>
    </row>
    <row r="35" spans="1:21" ht="12.75">
      <c r="A35" s="2">
        <v>33</v>
      </c>
      <c r="B35" s="102" t="s">
        <v>436</v>
      </c>
      <c r="C35" s="67">
        <f>'2009年4月'!U35</f>
        <v>11.658099999999997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-6.6667</v>
      </c>
      <c r="J35" s="68"/>
      <c r="K35" s="69"/>
      <c r="L35" s="70"/>
      <c r="M35" s="68">
        <v>1</v>
      </c>
      <c r="N35" s="69">
        <v>100</v>
      </c>
      <c r="O35" s="70">
        <f t="shared" si="3"/>
        <v>-6.5217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98.4697</v>
      </c>
    </row>
    <row r="36" spans="1:21" ht="12.75">
      <c r="A36" s="2">
        <v>34</v>
      </c>
      <c r="B36" s="103" t="s">
        <v>437</v>
      </c>
      <c r="C36" s="74">
        <f>'2009年4月'!U36</f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438</v>
      </c>
      <c r="C37" s="74">
        <f>'2009年4月'!U37</f>
        <v>41.13229999999999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-6.6667</v>
      </c>
      <c r="J37" s="75"/>
      <c r="K37" s="76"/>
      <c r="L37" s="77"/>
      <c r="M37" s="75">
        <v>1</v>
      </c>
      <c r="N37" s="76"/>
      <c r="O37" s="77">
        <f t="shared" si="3"/>
        <v>-6.5217</v>
      </c>
      <c r="P37" s="75">
        <v>1</v>
      </c>
      <c r="Q37" s="76"/>
      <c r="R37" s="77">
        <f t="shared" si="4"/>
        <v>-8.8235</v>
      </c>
      <c r="S37" s="75"/>
      <c r="T37" s="79"/>
      <c r="U37" s="101">
        <f t="shared" si="5"/>
        <v>19.12039999999999</v>
      </c>
      <c r="V37" s="37"/>
    </row>
    <row r="38" spans="1:21" ht="12.75">
      <c r="A38" s="2">
        <v>36</v>
      </c>
      <c r="B38" s="103" t="s">
        <v>439</v>
      </c>
      <c r="C38" s="74">
        <f>'2009年4月'!U38</f>
        <v>41.544000000000004</v>
      </c>
      <c r="D38" s="75">
        <v>1</v>
      </c>
      <c r="E38" s="76"/>
      <c r="F38" s="77">
        <f t="shared" si="1"/>
        <v>-9.2857</v>
      </c>
      <c r="G38" s="75">
        <v>1</v>
      </c>
      <c r="H38" s="76"/>
      <c r="I38" s="77">
        <f t="shared" si="2"/>
        <v>-6.6667</v>
      </c>
      <c r="J38" s="75"/>
      <c r="K38" s="76"/>
      <c r="L38" s="77"/>
      <c r="M38" s="75">
        <v>1</v>
      </c>
      <c r="N38" s="76"/>
      <c r="O38" s="77">
        <f t="shared" si="3"/>
        <v>-6.5217</v>
      </c>
      <c r="P38" s="75">
        <v>1</v>
      </c>
      <c r="Q38" s="76"/>
      <c r="R38" s="77">
        <f t="shared" si="4"/>
        <v>-8.8235</v>
      </c>
      <c r="S38" s="80"/>
      <c r="T38" s="79"/>
      <c r="U38" s="101">
        <f t="shared" si="5"/>
        <v>10.246400000000008</v>
      </c>
    </row>
    <row r="39" spans="1:21" ht="12.75">
      <c r="A39" s="2">
        <v>37</v>
      </c>
      <c r="B39" s="106" t="s">
        <v>440</v>
      </c>
      <c r="C39" s="88">
        <f>'2009年4月'!U39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'2009年4月'!U40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'2009年4月'!U41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'2009年4月'!U42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'2009年4月'!U43</f>
        <v>46.600899999999996</v>
      </c>
      <c r="D43" s="86">
        <v>1</v>
      </c>
      <c r="E43" s="98"/>
      <c r="F43" s="84">
        <f t="shared" si="1"/>
        <v>-9.2857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-6.5217</v>
      </c>
      <c r="P43" s="86">
        <v>1</v>
      </c>
      <c r="Q43" s="98"/>
      <c r="R43" s="84">
        <f t="shared" si="4"/>
        <v>-8.8235</v>
      </c>
      <c r="S43" s="86"/>
      <c r="T43" s="87"/>
      <c r="U43" s="101">
        <f t="shared" si="5"/>
        <v>21.97</v>
      </c>
    </row>
    <row r="44" spans="1:21" ht="12.75">
      <c r="A44" s="2">
        <v>42</v>
      </c>
      <c r="B44" s="104" t="s">
        <v>445</v>
      </c>
      <c r="C44" s="81">
        <f>'2009年4月'!U44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'2009年4月'!U45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'2009年4月'!U46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89.3792</v>
      </c>
    </row>
    <row r="47" spans="1:21" ht="12.75">
      <c r="A47" s="2">
        <v>45</v>
      </c>
      <c r="B47" s="105" t="s">
        <v>447</v>
      </c>
      <c r="C47" s="60">
        <f>'2009年4月'!U47</f>
        <v>48.60349999999998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-6.6667</v>
      </c>
      <c r="J47" s="66"/>
      <c r="K47" s="99"/>
      <c r="L47" s="63"/>
      <c r="M47" s="66">
        <v>1</v>
      </c>
      <c r="N47" s="99"/>
      <c r="O47" s="63">
        <f t="shared" si="3"/>
        <v>-6.5217</v>
      </c>
      <c r="P47" s="66">
        <v>1</v>
      </c>
      <c r="Q47" s="99"/>
      <c r="R47" s="63">
        <f t="shared" si="4"/>
        <v>-8.8235</v>
      </c>
      <c r="S47" s="66"/>
      <c r="T47" s="65"/>
      <c r="U47" s="101">
        <f t="shared" si="5"/>
        <v>26.591599999999982</v>
      </c>
    </row>
    <row r="48" spans="1:21" ht="12.75">
      <c r="A48" s="2">
        <v>46</v>
      </c>
      <c r="B48" s="102" t="s">
        <v>448</v>
      </c>
      <c r="C48" s="67">
        <f>'2009年4月'!U48</f>
        <v>12.5075</v>
      </c>
      <c r="D48" s="68">
        <v>1</v>
      </c>
      <c r="E48" s="69"/>
      <c r="F48" s="70">
        <f>-9.2857*D48-10</f>
        <v>-19.2857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>
        <v>1</v>
      </c>
      <c r="Q48" s="69">
        <v>100</v>
      </c>
      <c r="R48" s="70">
        <f t="shared" si="4"/>
        <v>-8.8235</v>
      </c>
      <c r="S48" s="68"/>
      <c r="T48" s="72"/>
      <c r="U48" s="101">
        <f t="shared" si="5"/>
        <v>84.3983</v>
      </c>
    </row>
    <row r="49" spans="1:21" ht="12.75">
      <c r="A49" s="2">
        <v>47</v>
      </c>
      <c r="B49" s="102" t="s">
        <v>449</v>
      </c>
      <c r="C49" s="67">
        <f>'2009年4月'!U49</f>
        <v>39.227399999999996</v>
      </c>
      <c r="D49" s="68"/>
      <c r="E49" s="69"/>
      <c r="F49" s="70">
        <f t="shared" si="1"/>
        <v>0</v>
      </c>
      <c r="G49" s="68">
        <v>1</v>
      </c>
      <c r="H49" s="69"/>
      <c r="I49" s="70">
        <f t="shared" si="2"/>
        <v>-6.6667</v>
      </c>
      <c r="J49" s="68"/>
      <c r="K49" s="69"/>
      <c r="L49" s="70"/>
      <c r="M49" s="68">
        <v>1</v>
      </c>
      <c r="N49" s="69"/>
      <c r="O49" s="70">
        <f t="shared" si="3"/>
        <v>-6.5217</v>
      </c>
      <c r="P49" s="68">
        <v>1</v>
      </c>
      <c r="Q49" s="69"/>
      <c r="R49" s="70">
        <f t="shared" si="4"/>
        <v>-8.8235</v>
      </c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'2009年4月'!U50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'2009年4月'!U51</f>
        <v>24.985300000000002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>
        <f t="shared" si="3"/>
        <v>0</v>
      </c>
      <c r="P51" s="75"/>
      <c r="Q51" s="96"/>
      <c r="R51" s="77">
        <f t="shared" si="4"/>
        <v>0</v>
      </c>
      <c r="S51" s="80"/>
      <c r="T51" s="79"/>
      <c r="U51" s="101">
        <f t="shared" si="5"/>
        <v>24.985300000000002</v>
      </c>
    </row>
    <row r="52" spans="1:21" ht="12.75">
      <c r="A52" s="2">
        <v>50</v>
      </c>
      <c r="B52" s="103" t="s">
        <v>452</v>
      </c>
      <c r="C52" s="74">
        <f>'2009年4月'!U52</f>
        <v>24.985300000000002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>
        <f t="shared" si="3"/>
        <v>0</v>
      </c>
      <c r="P52" s="80"/>
      <c r="Q52" s="96"/>
      <c r="R52" s="77">
        <f t="shared" si="4"/>
        <v>0</v>
      </c>
      <c r="S52" s="75"/>
      <c r="T52" s="79"/>
      <c r="U52" s="101">
        <f t="shared" si="5"/>
        <v>24.985300000000002</v>
      </c>
    </row>
    <row r="53" spans="1:21" ht="12.75">
      <c r="A53" s="2">
        <v>51</v>
      </c>
      <c r="B53" s="116">
        <v>2007</v>
      </c>
      <c r="C53" s="74">
        <f>'2009年4月'!U53</f>
        <v>80.3376</v>
      </c>
      <c r="D53" s="75">
        <v>1</v>
      </c>
      <c r="E53" s="96"/>
      <c r="F53" s="77">
        <f t="shared" si="1"/>
        <v>-9.2857</v>
      </c>
      <c r="G53" s="75">
        <v>1</v>
      </c>
      <c r="H53" s="96"/>
      <c r="I53" s="77">
        <f t="shared" si="2"/>
        <v>-6.6667</v>
      </c>
      <c r="J53" s="75"/>
      <c r="K53" s="96"/>
      <c r="L53" s="77"/>
      <c r="M53" s="75">
        <v>1</v>
      </c>
      <c r="N53" s="96"/>
      <c r="O53" s="77">
        <f t="shared" si="3"/>
        <v>-6.5217</v>
      </c>
      <c r="P53" s="75"/>
      <c r="Q53" s="96"/>
      <c r="R53" s="77">
        <f t="shared" si="4"/>
        <v>0</v>
      </c>
      <c r="S53" s="75"/>
      <c r="T53" s="114"/>
      <c r="U53" s="101">
        <f t="shared" si="5"/>
        <v>57.86349999999998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9.285714285714286</v>
      </c>
      <c r="G55" s="1">
        <f>SUM(G3:G53)</f>
        <v>21</v>
      </c>
      <c r="I55" s="1">
        <f>H66/G55</f>
        <v>6.666666666666667</v>
      </c>
      <c r="J55" s="1">
        <f>SUM(J3:J53)</f>
        <v>0</v>
      </c>
      <c r="L55" s="1" t="e">
        <f>K66/J55</f>
        <v>#DIV/0!</v>
      </c>
      <c r="M55" s="1">
        <f>SUM(M3:M53)</f>
        <v>23</v>
      </c>
      <c r="O55" s="1">
        <f>N66/M55</f>
        <v>6.521739130434782</v>
      </c>
      <c r="P55" s="1">
        <f>SUM(P3:P53)</f>
        <v>17</v>
      </c>
      <c r="R55" s="1">
        <f>Q66/P55</f>
        <v>8.823529411764707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-149.99980000000002</v>
      </c>
      <c r="H57" s="37" t="s">
        <v>455</v>
      </c>
      <c r="I57" s="1">
        <f>SUM(I3:I53)</f>
        <v>-150.0007</v>
      </c>
      <c r="K57" s="37" t="s">
        <v>455</v>
      </c>
      <c r="L57" s="1">
        <f>SUM(L3:L53)</f>
        <v>0</v>
      </c>
      <c r="N57" s="37" t="s">
        <v>455</v>
      </c>
      <c r="O57" s="1">
        <f>SUM(O3:O53)</f>
        <v>-149.9991</v>
      </c>
      <c r="Q57" s="37" t="s">
        <v>455</v>
      </c>
      <c r="R57" s="1">
        <f>SUM(R3:R53)</f>
        <v>-149.99949999999995</v>
      </c>
      <c r="U57" s="24"/>
    </row>
    <row r="58" spans="2:21" ht="12.75">
      <c r="B58" s="41" t="s">
        <v>456</v>
      </c>
      <c r="C58" s="36">
        <f>SUM(C3:C53)</f>
        <v>2610.0017000000007</v>
      </c>
      <c r="E58" s="41"/>
      <c r="H58" s="41"/>
      <c r="K58" s="41"/>
      <c r="N58" s="41"/>
      <c r="Q58" s="41"/>
      <c r="U58" s="24"/>
    </row>
    <row r="59" spans="19:21" ht="12.75">
      <c r="S59" s="151" t="s">
        <v>8</v>
      </c>
      <c r="T59" s="151"/>
      <c r="U59" s="56">
        <f>SUM(U3:U53)</f>
        <v>2460.0025999999993</v>
      </c>
    </row>
    <row r="60" spans="4:18" ht="12.75" customHeight="1">
      <c r="D60" s="155" t="s">
        <v>464</v>
      </c>
      <c r="E60" s="161"/>
      <c r="F60" s="162"/>
      <c r="G60" s="155" t="s">
        <v>465</v>
      </c>
      <c r="H60" s="161"/>
      <c r="I60" s="162"/>
      <c r="J60" s="155"/>
      <c r="K60" s="161"/>
      <c r="L60" s="162"/>
      <c r="M60" s="155" t="s">
        <v>467</v>
      </c>
      <c r="N60" s="161"/>
      <c r="O60" s="162"/>
      <c r="P60" s="155" t="s">
        <v>470</v>
      </c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130</v>
      </c>
      <c r="F66" s="51"/>
      <c r="G66" s="52" t="s">
        <v>457</v>
      </c>
      <c r="H66" s="50">
        <f>H68-H84-H92</f>
        <v>140</v>
      </c>
      <c r="I66" s="51"/>
      <c r="J66" s="52"/>
      <c r="K66" s="50"/>
      <c r="L66" s="51"/>
      <c r="M66" s="52" t="s">
        <v>457</v>
      </c>
      <c r="N66" s="50">
        <f>N68-N84-N92</f>
        <v>150</v>
      </c>
      <c r="O66" s="51"/>
      <c r="P66" s="52" t="s">
        <v>457</v>
      </c>
      <c r="Q66" s="50">
        <f>Q68-Q84-Q92</f>
        <v>150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/>
      <c r="K68" s="54"/>
      <c r="L68" s="55"/>
      <c r="M68" s="110" t="s">
        <v>458</v>
      </c>
      <c r="N68" s="54">
        <f>150</f>
        <v>150</v>
      </c>
      <c r="O68" s="55"/>
      <c r="P68" s="110" t="s">
        <v>458</v>
      </c>
      <c r="Q68" s="54">
        <f>150</f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9"/>
      <c r="E74" s="150"/>
      <c r="F74" s="150"/>
      <c r="G74" s="149"/>
      <c r="H74" s="150"/>
      <c r="I74" s="150"/>
      <c r="J74" s="149" t="s">
        <v>469</v>
      </c>
      <c r="K74" s="150"/>
      <c r="L74" s="150"/>
      <c r="M74" s="149" t="s">
        <v>468</v>
      </c>
      <c r="N74" s="150"/>
      <c r="O74" s="150"/>
      <c r="P74" s="149"/>
      <c r="Q74" s="150"/>
      <c r="R74" s="150"/>
    </row>
    <row r="75" spans="4:18" ht="12.75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</row>
    <row r="76" spans="4:18" ht="13.5" customHeight="1"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</row>
    <row r="77" spans="4:18" ht="12.75">
      <c r="D77" s="149"/>
      <c r="E77" s="150"/>
      <c r="F77" s="150"/>
      <c r="G77" s="149"/>
      <c r="H77" s="150"/>
      <c r="I77" s="150"/>
      <c r="J77" s="149"/>
      <c r="K77" s="150"/>
      <c r="L77" s="150"/>
      <c r="M77" s="149"/>
      <c r="N77" s="150"/>
      <c r="O77" s="150"/>
      <c r="P77" s="149"/>
      <c r="Q77" s="150"/>
      <c r="R77" s="150"/>
    </row>
    <row r="78" spans="4:18" ht="12.75"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</row>
    <row r="79" spans="4:18" ht="14.25" customHeight="1"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</row>
    <row r="80" spans="4:17" ht="12.75">
      <c r="D80" s="153" t="s">
        <v>459</v>
      </c>
      <c r="E80" s="154"/>
      <c r="G80" s="153" t="s">
        <v>459</v>
      </c>
      <c r="H80" s="154"/>
      <c r="J80" s="153"/>
      <c r="K80" s="154"/>
      <c r="M80" s="153" t="s">
        <v>459</v>
      </c>
      <c r="N80" s="154"/>
      <c r="P80" s="153" t="s">
        <v>459</v>
      </c>
      <c r="Q80" s="154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89</v>
      </c>
      <c r="E82" s="1">
        <v>10</v>
      </c>
      <c r="G82" s="107" t="s">
        <v>89</v>
      </c>
      <c r="H82" s="1">
        <v>10</v>
      </c>
      <c r="J82" s="107"/>
      <c r="M82" s="107"/>
      <c r="P82" s="107"/>
    </row>
    <row r="83" spans="4:5" ht="12.75">
      <c r="D83" s="1" t="s">
        <v>460</v>
      </c>
      <c r="E83" s="1">
        <v>10</v>
      </c>
    </row>
    <row r="84" spans="5:17" ht="12.75">
      <c r="E84" s="37">
        <f>SUM(E82:E83)</f>
        <v>20</v>
      </c>
      <c r="H84" s="37">
        <f>SUM(H82:H83)</f>
        <v>10</v>
      </c>
      <c r="K84" s="37"/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461</v>
      </c>
      <c r="E87" s="154"/>
      <c r="G87" s="153" t="s">
        <v>461</v>
      </c>
      <c r="H87" s="154"/>
      <c r="J87" s="153"/>
      <c r="K87" s="154"/>
      <c r="M87" s="153" t="s">
        <v>461</v>
      </c>
      <c r="N87" s="154"/>
      <c r="P87" s="153" t="s">
        <v>461</v>
      </c>
      <c r="Q87" s="154"/>
    </row>
    <row r="88" spans="4:16" ht="12.75">
      <c r="D88" s="37"/>
      <c r="G88" s="37"/>
      <c r="J88" s="37"/>
      <c r="M88" s="37"/>
      <c r="P88" s="37"/>
    </row>
    <row r="89" spans="4:17" ht="12.75">
      <c r="D89" s="107" t="s">
        <v>462</v>
      </c>
      <c r="E89" s="1">
        <v>0</v>
      </c>
      <c r="G89" s="107" t="s">
        <v>462</v>
      </c>
      <c r="H89" s="1">
        <v>0</v>
      </c>
      <c r="J89" s="107"/>
      <c r="M89" s="107" t="s">
        <v>462</v>
      </c>
      <c r="N89" s="1">
        <v>0</v>
      </c>
      <c r="P89" s="107" t="s">
        <v>462</v>
      </c>
      <c r="Q89" s="1">
        <v>0</v>
      </c>
    </row>
    <row r="90" spans="4:16" ht="12.75">
      <c r="D90" s="37"/>
      <c r="G90" s="37"/>
      <c r="J90" s="37"/>
      <c r="M90" s="37"/>
      <c r="P90" s="37"/>
    </row>
    <row r="92" spans="5:17" ht="12.75">
      <c r="E92" s="1">
        <f>SUM(E89:E91)</f>
        <v>0</v>
      </c>
      <c r="H92" s="1">
        <f>SUM(H89:H91)</f>
        <v>0</v>
      </c>
      <c r="N92" s="1">
        <f>SUM(N89:N91)</f>
        <v>0</v>
      </c>
      <c r="Q92" s="1">
        <f>SUM(Q89:Q91)</f>
        <v>0</v>
      </c>
    </row>
    <row r="94" spans="4:18" ht="12.75" customHeight="1">
      <c r="D94" s="152" t="s">
        <v>463</v>
      </c>
      <c r="E94" s="152"/>
      <c r="F94" s="152"/>
      <c r="G94" s="152" t="s">
        <v>463</v>
      </c>
      <c r="H94" s="152"/>
      <c r="I94" s="152"/>
      <c r="J94" s="152"/>
      <c r="K94" s="152"/>
      <c r="L94" s="152"/>
      <c r="M94" s="152" t="s">
        <v>463</v>
      </c>
      <c r="N94" s="152"/>
      <c r="O94" s="152"/>
      <c r="P94" s="152" t="s">
        <v>463</v>
      </c>
      <c r="Q94" s="152"/>
      <c r="R94" s="152"/>
    </row>
    <row r="95" spans="4:18" ht="12.75"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 t="s">
        <v>466</v>
      </c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56" t="s">
        <v>457</v>
      </c>
      <c r="E101" s="154"/>
      <c r="F101" s="154"/>
      <c r="G101" s="156" t="s">
        <v>457</v>
      </c>
      <c r="H101" s="154"/>
      <c r="I101" s="154"/>
      <c r="J101" s="156"/>
      <c r="K101" s="154"/>
      <c r="L101" s="154"/>
      <c r="M101" s="156" t="s">
        <v>457</v>
      </c>
      <c r="N101" s="154"/>
      <c r="O101" s="154"/>
      <c r="P101" s="156" t="s">
        <v>457</v>
      </c>
      <c r="Q101" s="154"/>
      <c r="R101" s="154"/>
    </row>
    <row r="102" spans="4:18" ht="12.75"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</row>
    <row r="103" ht="12.75">
      <c r="G103" s="37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D44" sqref="D4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39970</v>
      </c>
      <c r="E1" s="158"/>
      <c r="F1" s="159"/>
      <c r="G1" s="18"/>
      <c r="H1" s="32">
        <v>39977</v>
      </c>
      <c r="I1" s="19"/>
      <c r="J1" s="44"/>
      <c r="K1" s="32">
        <v>39984</v>
      </c>
      <c r="L1" s="45"/>
      <c r="M1" s="18"/>
      <c r="N1" s="32">
        <v>39991</v>
      </c>
      <c r="O1" s="19"/>
      <c r="P1" s="18"/>
      <c r="Q1" s="32" t="s">
        <v>471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'2009年5月'!U3</f>
        <v>85.10039999999998</v>
      </c>
      <c r="D3" s="68">
        <v>1</v>
      </c>
      <c r="E3" s="69"/>
      <c r="F3" s="70">
        <f>-7.3684*D3</f>
        <v>-7.3684</v>
      </c>
      <c r="G3" s="68">
        <v>1</v>
      </c>
      <c r="H3" s="69"/>
      <c r="I3" s="70">
        <f>-7.7778*G3</f>
        <v>-7.7778</v>
      </c>
      <c r="J3" s="68">
        <v>1</v>
      </c>
      <c r="K3" s="69"/>
      <c r="L3" s="70">
        <f>-4.1667*J3</f>
        <v>-4.1667</v>
      </c>
      <c r="M3" s="68"/>
      <c r="N3" s="69"/>
      <c r="O3" s="70">
        <f>-8.8235*M3</f>
        <v>0</v>
      </c>
      <c r="P3" s="68"/>
      <c r="Q3" s="69"/>
      <c r="R3" s="70"/>
      <c r="S3" s="68"/>
      <c r="T3" s="72"/>
      <c r="U3" s="101">
        <f aca="true" t="shared" si="0" ref="U3:U34">C3+E3+F3+H3+I3+K3+L3+N3+O3+T3+Q3+R3</f>
        <v>65.78749999999998</v>
      </c>
    </row>
    <row r="4" spans="1:21" ht="12.75">
      <c r="A4" s="2">
        <v>2</v>
      </c>
      <c r="B4" s="100" t="s">
        <v>3</v>
      </c>
      <c r="C4" s="67">
        <f>'2009年5月'!U4</f>
        <v>84.684</v>
      </c>
      <c r="D4" s="68"/>
      <c r="E4" s="69"/>
      <c r="F4" s="70">
        <f aca="true" t="shared" si="1" ref="F4:F53">-7.3684*D4</f>
        <v>0</v>
      </c>
      <c r="G4" s="68">
        <v>1</v>
      </c>
      <c r="H4" s="69"/>
      <c r="I4" s="70">
        <f aca="true" t="shared" si="2" ref="I4:I53">-7.7778*G4</f>
        <v>-7.7778</v>
      </c>
      <c r="J4" s="68">
        <v>1</v>
      </c>
      <c r="K4" s="69"/>
      <c r="L4" s="70">
        <f aca="true" t="shared" si="3" ref="L4:L53">-4.1667*J4</f>
        <v>-4.1667</v>
      </c>
      <c r="M4" s="68">
        <v>1</v>
      </c>
      <c r="N4" s="69"/>
      <c r="O4" s="70">
        <f aca="true" t="shared" si="4" ref="O4:O53">-8.8235*M4</f>
        <v>-8.8235</v>
      </c>
      <c r="P4" s="68"/>
      <c r="Q4" s="69"/>
      <c r="R4" s="70"/>
      <c r="S4" s="73"/>
      <c r="T4" s="72"/>
      <c r="U4" s="101">
        <f t="shared" si="0"/>
        <v>63.916</v>
      </c>
    </row>
    <row r="5" spans="1:21" ht="12.75">
      <c r="A5" s="2">
        <v>3</v>
      </c>
      <c r="B5" s="102" t="s">
        <v>406</v>
      </c>
      <c r="C5" s="67">
        <f>'2009年5月'!U5</f>
        <v>77.2326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'2009年5月'!U6</f>
        <v>57.10470000000001</v>
      </c>
      <c r="D6" s="80">
        <v>1</v>
      </c>
      <c r="E6" s="76"/>
      <c r="F6" s="77">
        <f t="shared" si="1"/>
        <v>-7.3684</v>
      </c>
      <c r="G6" s="80">
        <v>1</v>
      </c>
      <c r="H6" s="76"/>
      <c r="I6" s="77">
        <f t="shared" si="2"/>
        <v>-7.7778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-8.8235</v>
      </c>
      <c r="P6" s="80"/>
      <c r="Q6" s="76"/>
      <c r="R6" s="77"/>
      <c r="S6" s="80"/>
      <c r="T6" s="79"/>
      <c r="U6" s="101">
        <f t="shared" si="0"/>
        <v>33.135000000000005</v>
      </c>
      <c r="W6" s="37"/>
    </row>
    <row r="7" spans="1:21" ht="12.75">
      <c r="A7" s="2">
        <v>5</v>
      </c>
      <c r="B7" s="103" t="s">
        <v>408</v>
      </c>
      <c r="C7" s="74">
        <f>'2009年5月'!U7</f>
        <v>87.34970000000001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-7.7778</v>
      </c>
      <c r="J7" s="75">
        <v>1</v>
      </c>
      <c r="K7" s="76"/>
      <c r="L7" s="77">
        <f t="shared" si="3"/>
        <v>-4.1667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75.40520000000001</v>
      </c>
    </row>
    <row r="8" spans="1:21" ht="12.75">
      <c r="A8" s="2">
        <v>6</v>
      </c>
      <c r="B8" s="103" t="s">
        <v>409</v>
      </c>
      <c r="C8" s="74">
        <f>'2009年5月'!U8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 t="shared" si="4"/>
        <v>-8.8235</v>
      </c>
      <c r="P8" s="75"/>
      <c r="Q8" s="76"/>
      <c r="R8" s="77"/>
      <c r="S8" s="80"/>
      <c r="T8" s="79"/>
      <c r="U8" s="101">
        <f t="shared" si="0"/>
        <v>88.10650000000001</v>
      </c>
    </row>
    <row r="9" spans="1:21" ht="12.75">
      <c r="A9" s="2">
        <v>7</v>
      </c>
      <c r="B9" s="106" t="s">
        <v>410</v>
      </c>
      <c r="C9" s="88">
        <f>'2009年5月'!U9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'2009年5月'!U10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'2009年5月'!U11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'2009年5月'!U12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'2009年5月'!U13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'2009年5月'!U14</f>
        <v>46.712799999999994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-4.1667</v>
      </c>
      <c r="M14" s="82"/>
      <c r="N14" s="83"/>
      <c r="O14" s="84">
        <f t="shared" si="4"/>
        <v>0</v>
      </c>
      <c r="P14" s="82"/>
      <c r="Q14" s="83"/>
      <c r="R14" s="84"/>
      <c r="S14" s="82"/>
      <c r="T14" s="87"/>
      <c r="U14" s="101">
        <f t="shared" si="0"/>
        <v>42.546099999999996</v>
      </c>
    </row>
    <row r="15" spans="1:21" ht="12.75">
      <c r="A15" s="2">
        <v>13</v>
      </c>
      <c r="B15" s="105" t="s">
        <v>416</v>
      </c>
      <c r="C15" s="60">
        <f>'2009年5月'!U15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'2009年5月'!U16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'2009年5月'!U17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'2009年5月'!U18</f>
        <v>39.035099999999986</v>
      </c>
      <c r="D18" s="68"/>
      <c r="E18" s="69"/>
      <c r="F18" s="70">
        <f t="shared" si="1"/>
        <v>0</v>
      </c>
      <c r="G18" s="68">
        <v>1</v>
      </c>
      <c r="H18" s="69"/>
      <c r="I18" s="70">
        <f>-7.7778*G18-10</f>
        <v>-17.7778</v>
      </c>
      <c r="J18" s="68">
        <v>1</v>
      </c>
      <c r="K18" s="69"/>
      <c r="L18" s="70">
        <f>-4.1667*J18-10</f>
        <v>-14.166699999999999</v>
      </c>
      <c r="M18" s="68"/>
      <c r="N18" s="69"/>
      <c r="O18" s="70">
        <f t="shared" si="4"/>
        <v>0</v>
      </c>
      <c r="P18" s="68"/>
      <c r="Q18" s="69"/>
      <c r="R18" s="70"/>
      <c r="S18" s="68"/>
      <c r="T18" s="72"/>
      <c r="U18" s="101">
        <f t="shared" si="0"/>
        <v>7.090599999999988</v>
      </c>
    </row>
    <row r="19" spans="1:23" ht="12.75">
      <c r="A19" s="2">
        <v>17</v>
      </c>
      <c r="B19" s="102" t="s">
        <v>420</v>
      </c>
      <c r="C19" s="67">
        <f>'2009年5月'!U19</f>
        <v>-3.0844999999999976</v>
      </c>
      <c r="D19" s="68">
        <v>1</v>
      </c>
      <c r="E19" s="69">
        <v>100</v>
      </c>
      <c r="F19" s="70">
        <f t="shared" si="1"/>
        <v>-7.3684</v>
      </c>
      <c r="G19" s="68"/>
      <c r="H19" s="69"/>
      <c r="I19" s="70">
        <f t="shared" si="2"/>
        <v>0</v>
      </c>
      <c r="J19" s="68">
        <v>4</v>
      </c>
      <c r="K19" s="69"/>
      <c r="L19" s="70">
        <f t="shared" si="3"/>
        <v>-16.6668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72.88030000000002</v>
      </c>
      <c r="W19" s="37"/>
    </row>
    <row r="20" spans="1:21" ht="12.75">
      <c r="A20" s="2">
        <v>18</v>
      </c>
      <c r="B20" s="102" t="s">
        <v>421</v>
      </c>
      <c r="C20" s="67">
        <f>'2009年5月'!U20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'2009年5月'!U21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'2009年5月'!U22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'2009年5月'!U23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'2009年5月'!U24</f>
        <v>18.665599999999994</v>
      </c>
      <c r="D24" s="89">
        <v>1</v>
      </c>
      <c r="E24" s="90"/>
      <c r="F24" s="91">
        <f t="shared" si="1"/>
        <v>-7.3684</v>
      </c>
      <c r="G24" s="89">
        <v>1</v>
      </c>
      <c r="H24" s="90"/>
      <c r="I24" s="91">
        <f t="shared" si="2"/>
        <v>-7.7778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89"/>
      <c r="Q24" s="90"/>
      <c r="R24" s="91"/>
      <c r="S24" s="89"/>
      <c r="T24" s="93"/>
      <c r="U24" s="101">
        <f t="shared" si="0"/>
        <v>3.519399999999993</v>
      </c>
    </row>
    <row r="25" spans="1:21" ht="12.75">
      <c r="A25" s="2">
        <v>23</v>
      </c>
      <c r="B25" s="106" t="s">
        <v>426</v>
      </c>
      <c r="C25" s="88">
        <f>'2009年5月'!U25</f>
        <v>37.05169999999998</v>
      </c>
      <c r="D25" s="89">
        <v>1</v>
      </c>
      <c r="E25" s="90"/>
      <c r="F25" s="91">
        <f t="shared" si="1"/>
        <v>-7.3684</v>
      </c>
      <c r="G25" s="89">
        <v>1</v>
      </c>
      <c r="H25" s="90"/>
      <c r="I25" s="91">
        <f t="shared" si="2"/>
        <v>-7.7778</v>
      </c>
      <c r="J25" s="89">
        <v>1</v>
      </c>
      <c r="K25" s="90"/>
      <c r="L25" s="91">
        <f t="shared" si="3"/>
        <v>-4.1667</v>
      </c>
      <c r="M25" s="89">
        <v>1</v>
      </c>
      <c r="N25" s="90"/>
      <c r="O25" s="91">
        <f t="shared" si="4"/>
        <v>-8.8235</v>
      </c>
      <c r="P25" s="89"/>
      <c r="Q25" s="90"/>
      <c r="R25" s="91"/>
      <c r="S25" s="89"/>
      <c r="T25" s="93"/>
      <c r="U25" s="101">
        <f t="shared" si="0"/>
        <v>8.915299999999984</v>
      </c>
    </row>
    <row r="26" spans="1:21" ht="12.75">
      <c r="A26" s="2">
        <v>24</v>
      </c>
      <c r="B26" s="106" t="s">
        <v>427</v>
      </c>
      <c r="C26" s="88">
        <f>'2009年5月'!U26</f>
        <v>30.859899999999985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>
        <v>1</v>
      </c>
      <c r="K26" s="90"/>
      <c r="L26" s="91">
        <f t="shared" si="3"/>
        <v>-4.1667</v>
      </c>
      <c r="M26" s="89">
        <v>1</v>
      </c>
      <c r="N26" s="90"/>
      <c r="O26" s="91">
        <f t="shared" si="4"/>
        <v>-8.8235</v>
      </c>
      <c r="P26" s="89"/>
      <c r="Q26" s="90"/>
      <c r="R26" s="91"/>
      <c r="S26" s="94"/>
      <c r="T26" s="93"/>
      <c r="U26" s="101">
        <f t="shared" si="0"/>
        <v>17.869699999999987</v>
      </c>
    </row>
    <row r="27" spans="1:21" ht="12.75">
      <c r="A27" s="2">
        <v>25</v>
      </c>
      <c r="B27" s="104" t="s">
        <v>428</v>
      </c>
      <c r="C27" s="81">
        <f>'2009年5月'!U27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'2009年5月'!U28</f>
        <v>9.05169999999999</v>
      </c>
      <c r="D28" s="86">
        <v>1</v>
      </c>
      <c r="E28" s="98">
        <v>50</v>
      </c>
      <c r="F28" s="84">
        <f t="shared" si="1"/>
        <v>-7.3684</v>
      </c>
      <c r="G28" s="86">
        <v>1</v>
      </c>
      <c r="H28" s="98"/>
      <c r="I28" s="84">
        <f t="shared" si="2"/>
        <v>-7.7778</v>
      </c>
      <c r="J28" s="86">
        <v>1</v>
      </c>
      <c r="K28" s="98"/>
      <c r="L28" s="84">
        <f t="shared" si="3"/>
        <v>-4.1667</v>
      </c>
      <c r="M28" s="86">
        <v>1</v>
      </c>
      <c r="N28" s="98"/>
      <c r="O28" s="84">
        <f t="shared" si="4"/>
        <v>-8.8235</v>
      </c>
      <c r="P28" s="86"/>
      <c r="Q28" s="98"/>
      <c r="R28" s="84"/>
      <c r="S28" s="86"/>
      <c r="T28" s="87"/>
      <c r="U28" s="101">
        <f t="shared" si="0"/>
        <v>30.91529999999999</v>
      </c>
    </row>
    <row r="29" spans="1:21" ht="12.75">
      <c r="A29" s="2">
        <v>27</v>
      </c>
      <c r="B29" s="104" t="s">
        <v>430</v>
      </c>
      <c r="C29" s="81">
        <f>'2009年5月'!U29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'2009年5月'!U30</f>
        <v>14.089099999999995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-7.7778</v>
      </c>
      <c r="J30" s="66">
        <v>1</v>
      </c>
      <c r="K30" s="99"/>
      <c r="L30" s="63">
        <f t="shared" si="3"/>
        <v>-4.1667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2.144599999999995</v>
      </c>
      <c r="V30" s="37"/>
    </row>
    <row r="31" spans="1:21" ht="12.75">
      <c r="A31" s="2">
        <v>29</v>
      </c>
      <c r="B31" s="105" t="s">
        <v>432</v>
      </c>
      <c r="C31" s="60">
        <f>'2009年5月'!U31</f>
        <v>30.8494</v>
      </c>
      <c r="D31" s="61">
        <v>1</v>
      </c>
      <c r="E31" s="99"/>
      <c r="F31" s="63">
        <f t="shared" si="1"/>
        <v>-7.3684</v>
      </c>
      <c r="G31" s="61">
        <v>1</v>
      </c>
      <c r="H31" s="99"/>
      <c r="I31" s="63">
        <f t="shared" si="2"/>
        <v>-7.7778</v>
      </c>
      <c r="J31" s="61">
        <v>1</v>
      </c>
      <c r="K31" s="99"/>
      <c r="L31" s="63">
        <f>-4.1667*J31-10</f>
        <v>-14.166699999999999</v>
      </c>
      <c r="M31" s="61">
        <v>1</v>
      </c>
      <c r="N31" s="99"/>
      <c r="O31" s="63">
        <f t="shared" si="4"/>
        <v>-8.8235</v>
      </c>
      <c r="P31" s="61"/>
      <c r="Q31" s="99"/>
      <c r="R31" s="63"/>
      <c r="S31" s="61"/>
      <c r="T31" s="65"/>
      <c r="U31" s="101">
        <f t="shared" si="0"/>
        <v>-7.286999999999999</v>
      </c>
    </row>
    <row r="32" spans="1:21" ht="12.75">
      <c r="A32" s="2">
        <v>30</v>
      </c>
      <c r="B32" s="105" t="s">
        <v>433</v>
      </c>
      <c r="C32" s="60">
        <f>'2009年5月'!U32</f>
        <v>34.654499999999985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'2009年5月'!U33</f>
        <v>101.3299</v>
      </c>
      <c r="D33" s="68">
        <v>1</v>
      </c>
      <c r="E33" s="69"/>
      <c r="F33" s="70">
        <f t="shared" si="1"/>
        <v>-7.3684</v>
      </c>
      <c r="G33" s="68">
        <v>1</v>
      </c>
      <c r="H33" s="69"/>
      <c r="I33" s="70">
        <f t="shared" si="2"/>
        <v>-7.7778</v>
      </c>
      <c r="J33" s="68">
        <v>1</v>
      </c>
      <c r="K33" s="69"/>
      <c r="L33" s="70">
        <f t="shared" si="3"/>
        <v>-4.1667</v>
      </c>
      <c r="M33" s="68">
        <v>1</v>
      </c>
      <c r="N33" s="69"/>
      <c r="O33" s="70">
        <f t="shared" si="4"/>
        <v>-8.8235</v>
      </c>
      <c r="P33" s="68"/>
      <c r="Q33" s="69"/>
      <c r="R33" s="70"/>
      <c r="S33" s="68"/>
      <c r="T33" s="72"/>
      <c r="U33" s="101">
        <f t="shared" si="0"/>
        <v>73.1935</v>
      </c>
    </row>
    <row r="34" spans="1:21" ht="12.75">
      <c r="A34" s="2">
        <v>32</v>
      </c>
      <c r="B34" s="102" t="s">
        <v>435</v>
      </c>
      <c r="C34" s="67">
        <f>'2009年5月'!U34</f>
        <v>51.01869999999997</v>
      </c>
      <c r="D34" s="68">
        <v>1</v>
      </c>
      <c r="E34" s="69"/>
      <c r="F34" s="70">
        <f t="shared" si="1"/>
        <v>-7.3684</v>
      </c>
      <c r="G34" s="68">
        <v>1</v>
      </c>
      <c r="H34" s="69"/>
      <c r="I34" s="70">
        <f t="shared" si="2"/>
        <v>-7.7778</v>
      </c>
      <c r="J34" s="68"/>
      <c r="K34" s="69"/>
      <c r="L34" s="70">
        <f t="shared" si="3"/>
        <v>0</v>
      </c>
      <c r="M34" s="68">
        <v>1</v>
      </c>
      <c r="N34" s="69"/>
      <c r="O34" s="70">
        <f t="shared" si="4"/>
        <v>-8.8235</v>
      </c>
      <c r="P34" s="68"/>
      <c r="Q34" s="69"/>
      <c r="R34" s="70"/>
      <c r="S34" s="73"/>
      <c r="T34" s="72"/>
      <c r="U34" s="101">
        <f t="shared" si="0"/>
        <v>27.048999999999968</v>
      </c>
    </row>
    <row r="35" spans="1:21" ht="12.75">
      <c r="A35" s="2">
        <v>33</v>
      </c>
      <c r="B35" s="102" t="s">
        <v>436</v>
      </c>
      <c r="C35" s="67">
        <f>'2009年5月'!U35</f>
        <v>98.4697</v>
      </c>
      <c r="D35" s="68">
        <v>1</v>
      </c>
      <c r="E35" s="69"/>
      <c r="F35" s="70">
        <f t="shared" si="1"/>
        <v>-7.3684</v>
      </c>
      <c r="G35" s="68">
        <v>1</v>
      </c>
      <c r="H35" s="69"/>
      <c r="I35" s="70">
        <f t="shared" si="2"/>
        <v>-7.7778</v>
      </c>
      <c r="J35" s="68">
        <v>1</v>
      </c>
      <c r="K35" s="69"/>
      <c r="L35" s="70">
        <f t="shared" si="3"/>
        <v>-4.1667</v>
      </c>
      <c r="M35" s="68">
        <v>1</v>
      </c>
      <c r="N35" s="69"/>
      <c r="O35" s="70">
        <f t="shared" si="4"/>
        <v>-8.8235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70.33330000000001</v>
      </c>
    </row>
    <row r="36" spans="1:21" ht="12.75">
      <c r="A36" s="2">
        <v>34</v>
      </c>
      <c r="B36" s="103" t="s">
        <v>437</v>
      </c>
      <c r="C36" s="74">
        <f>'2009年5月'!U36</f>
        <v>38.13</v>
      </c>
      <c r="D36" s="75">
        <v>1</v>
      </c>
      <c r="E36" s="76"/>
      <c r="F36" s="77">
        <f t="shared" si="1"/>
        <v>-7.3684</v>
      </c>
      <c r="G36" s="75"/>
      <c r="H36" s="76"/>
      <c r="I36" s="77">
        <f t="shared" si="2"/>
        <v>0</v>
      </c>
      <c r="J36" s="75">
        <v>1</v>
      </c>
      <c r="K36" s="76"/>
      <c r="L36" s="77">
        <f>-4.1667*J36-10</f>
        <v>-14.166699999999999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16.594900000000003</v>
      </c>
    </row>
    <row r="37" spans="1:22" ht="12.75">
      <c r="A37" s="2">
        <v>35</v>
      </c>
      <c r="B37" s="103" t="s">
        <v>438</v>
      </c>
      <c r="C37" s="74">
        <f>'2009年5月'!U37</f>
        <v>19.12039999999999</v>
      </c>
      <c r="D37" s="75">
        <v>1</v>
      </c>
      <c r="E37" s="76"/>
      <c r="F37" s="77">
        <f t="shared" si="1"/>
        <v>-7.3684</v>
      </c>
      <c r="G37" s="75">
        <v>1</v>
      </c>
      <c r="H37" s="76">
        <v>100</v>
      </c>
      <c r="I37" s="77">
        <f t="shared" si="2"/>
        <v>-7.7778</v>
      </c>
      <c r="J37" s="75">
        <v>1</v>
      </c>
      <c r="K37" s="76"/>
      <c r="L37" s="77">
        <f t="shared" si="3"/>
        <v>-4.1667</v>
      </c>
      <c r="M37" s="75">
        <v>1</v>
      </c>
      <c r="N37" s="76"/>
      <c r="O37" s="77">
        <f t="shared" si="4"/>
        <v>-8.8235</v>
      </c>
      <c r="P37" s="75"/>
      <c r="Q37" s="76"/>
      <c r="R37" s="77"/>
      <c r="S37" s="75"/>
      <c r="T37" s="79"/>
      <c r="U37" s="101">
        <f t="shared" si="5"/>
        <v>90.98399999999998</v>
      </c>
      <c r="V37" s="37"/>
    </row>
    <row r="38" spans="1:21" ht="12.75">
      <c r="A38" s="2">
        <v>36</v>
      </c>
      <c r="B38" s="103" t="s">
        <v>439</v>
      </c>
      <c r="C38" s="74">
        <f>'2009年5月'!U38</f>
        <v>10.246400000000008</v>
      </c>
      <c r="D38" s="75">
        <v>1</v>
      </c>
      <c r="E38" s="76"/>
      <c r="F38" s="77">
        <f t="shared" si="1"/>
        <v>-7.3684</v>
      </c>
      <c r="G38" s="75">
        <v>1</v>
      </c>
      <c r="H38" s="76">
        <v>50</v>
      </c>
      <c r="I38" s="77">
        <f t="shared" si="2"/>
        <v>-7.7778</v>
      </c>
      <c r="J38" s="75">
        <v>1</v>
      </c>
      <c r="K38" s="76"/>
      <c r="L38" s="77">
        <f t="shared" si="3"/>
        <v>-4.1667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40.93350000000001</v>
      </c>
    </row>
    <row r="39" spans="1:21" ht="12.75">
      <c r="A39" s="2">
        <v>37</v>
      </c>
      <c r="B39" s="106" t="s">
        <v>440</v>
      </c>
      <c r="C39" s="88">
        <f>'2009年5月'!U39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'2009年5月'!U40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'2009年5月'!U41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'2009年5月'!U42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'2009年5月'!U43</f>
        <v>21.97</v>
      </c>
      <c r="D43" s="86">
        <v>1</v>
      </c>
      <c r="E43" s="98"/>
      <c r="F43" s="84">
        <f t="shared" si="1"/>
        <v>-7.3684</v>
      </c>
      <c r="G43" s="86"/>
      <c r="H43" s="98"/>
      <c r="I43" s="84">
        <f t="shared" si="2"/>
        <v>0</v>
      </c>
      <c r="J43" s="86">
        <v>1</v>
      </c>
      <c r="K43" s="98"/>
      <c r="L43" s="84">
        <f>-4.1667*J43-10</f>
        <v>-14.166699999999999</v>
      </c>
      <c r="M43" s="86">
        <v>1</v>
      </c>
      <c r="N43" s="98"/>
      <c r="O43" s="84">
        <f t="shared" si="4"/>
        <v>-8.8235</v>
      </c>
      <c r="P43" s="86"/>
      <c r="Q43" s="98"/>
      <c r="R43" s="84"/>
      <c r="S43" s="86"/>
      <c r="T43" s="87"/>
      <c r="U43" s="101">
        <f t="shared" si="5"/>
        <v>-8.3886</v>
      </c>
    </row>
    <row r="44" spans="1:21" ht="12.75">
      <c r="A44" s="2">
        <v>42</v>
      </c>
      <c r="B44" s="104" t="s">
        <v>445</v>
      </c>
      <c r="C44" s="81">
        <f>'2009年5月'!U44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'2009年5月'!U45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'2009年5月'!U46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-4.1667</v>
      </c>
      <c r="M46" s="61">
        <v>1</v>
      </c>
      <c r="N46" s="99"/>
      <c r="O46" s="63">
        <f t="shared" si="4"/>
        <v>-8.8235</v>
      </c>
      <c r="P46" s="61"/>
      <c r="Q46" s="99"/>
      <c r="R46" s="63"/>
      <c r="S46" s="61"/>
      <c r="T46" s="65"/>
      <c r="U46" s="101">
        <f t="shared" si="5"/>
        <v>76.389</v>
      </c>
    </row>
    <row r="47" spans="1:21" ht="12.75">
      <c r="A47" s="2">
        <v>45</v>
      </c>
      <c r="B47" s="105" t="s">
        <v>447</v>
      </c>
      <c r="C47" s="60">
        <f>'2009年5月'!U47</f>
        <v>26.591599999999982</v>
      </c>
      <c r="D47" s="66">
        <v>1</v>
      </c>
      <c r="E47" s="99"/>
      <c r="F47" s="63">
        <f t="shared" si="1"/>
        <v>-7.3684</v>
      </c>
      <c r="G47" s="66">
        <v>1</v>
      </c>
      <c r="H47" s="99"/>
      <c r="I47" s="63">
        <f t="shared" si="2"/>
        <v>-7.7778</v>
      </c>
      <c r="J47" s="66">
        <v>1</v>
      </c>
      <c r="K47" s="99"/>
      <c r="L47" s="63">
        <f t="shared" si="3"/>
        <v>-4.1667</v>
      </c>
      <c r="M47" s="66">
        <v>1</v>
      </c>
      <c r="N47" s="99"/>
      <c r="O47" s="63">
        <f t="shared" si="4"/>
        <v>-8.8235</v>
      </c>
      <c r="P47" s="66"/>
      <c r="Q47" s="99"/>
      <c r="R47" s="63"/>
      <c r="S47" s="66"/>
      <c r="T47" s="65"/>
      <c r="U47" s="101">
        <f t="shared" si="5"/>
        <v>-1.5448000000000173</v>
      </c>
    </row>
    <row r="48" spans="1:21" ht="12.75">
      <c r="A48" s="2">
        <v>46</v>
      </c>
      <c r="B48" s="102" t="s">
        <v>448</v>
      </c>
      <c r="C48" s="67">
        <f>'2009年5月'!U48</f>
        <v>84.3983</v>
      </c>
      <c r="D48" s="68">
        <v>1</v>
      </c>
      <c r="E48" s="69"/>
      <c r="F48" s="70">
        <f>-7.3684*D48-10</f>
        <v>-17.3684</v>
      </c>
      <c r="G48" s="68">
        <v>1</v>
      </c>
      <c r="H48" s="69"/>
      <c r="I48" s="70">
        <f t="shared" si="2"/>
        <v>-7.7778</v>
      </c>
      <c r="J48" s="68">
        <v>1</v>
      </c>
      <c r="K48" s="69"/>
      <c r="L48" s="70">
        <f>-4.1667*J48-10</f>
        <v>-14.166699999999999</v>
      </c>
      <c r="M48" s="68">
        <v>1</v>
      </c>
      <c r="N48" s="69"/>
      <c r="O48" s="70">
        <f t="shared" si="4"/>
        <v>-8.8235</v>
      </c>
      <c r="P48" s="68"/>
      <c r="Q48" s="69"/>
      <c r="R48" s="70"/>
      <c r="S48" s="68"/>
      <c r="T48" s="72"/>
      <c r="U48" s="101">
        <f t="shared" si="5"/>
        <v>36.2619</v>
      </c>
    </row>
    <row r="49" spans="1:21" ht="12.75">
      <c r="A49" s="2">
        <v>47</v>
      </c>
      <c r="B49" s="102" t="s">
        <v>449</v>
      </c>
      <c r="C49" s="67">
        <f>'2009年5月'!U49</f>
        <v>17.2155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'2009年5月'!U50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'2009年5月'!U51</f>
        <v>24.985300000000002</v>
      </c>
      <c r="D51" s="75">
        <v>1</v>
      </c>
      <c r="E51" s="96"/>
      <c r="F51" s="77">
        <f t="shared" si="1"/>
        <v>-7.3684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>
        <v>1</v>
      </c>
      <c r="N51" s="96"/>
      <c r="O51" s="77">
        <f t="shared" si="4"/>
        <v>-8.8235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452</v>
      </c>
      <c r="C52" s="74">
        <f>'2009年5月'!U52</f>
        <v>24.985300000000002</v>
      </c>
      <c r="D52" s="80">
        <v>1</v>
      </c>
      <c r="E52" s="96"/>
      <c r="F52" s="77">
        <f t="shared" si="1"/>
        <v>-7.3684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-8.8235</v>
      </c>
      <c r="P52" s="80"/>
      <c r="Q52" s="96"/>
      <c r="R52" s="77"/>
      <c r="S52" s="75"/>
      <c r="T52" s="79"/>
      <c r="U52" s="101">
        <f t="shared" si="5"/>
        <v>8.793400000000002</v>
      </c>
    </row>
    <row r="53" spans="1:21" ht="12.75">
      <c r="A53" s="2">
        <v>51</v>
      </c>
      <c r="B53" s="116">
        <v>2007</v>
      </c>
      <c r="C53" s="74">
        <f>'2009年5月'!U53</f>
        <v>57.86349999999998</v>
      </c>
      <c r="D53" s="75">
        <v>1</v>
      </c>
      <c r="E53" s="96"/>
      <c r="F53" s="77">
        <f t="shared" si="1"/>
        <v>-7.3684</v>
      </c>
      <c r="G53" s="75">
        <v>1</v>
      </c>
      <c r="H53" s="96"/>
      <c r="I53" s="77">
        <f t="shared" si="2"/>
        <v>-7.7778</v>
      </c>
      <c r="J53" s="75">
        <v>1</v>
      </c>
      <c r="K53" s="96"/>
      <c r="L53" s="77">
        <f t="shared" si="3"/>
        <v>-4.1667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19</v>
      </c>
      <c r="F55" s="1">
        <f>E66/D55</f>
        <v>7.368421052631579</v>
      </c>
      <c r="G55" s="1">
        <f>SUM(G3:G53)</f>
        <v>18</v>
      </c>
      <c r="I55" s="1">
        <f>H66/G55</f>
        <v>7.777777777777778</v>
      </c>
      <c r="J55" s="1">
        <f>SUM(J3:J53)</f>
        <v>24</v>
      </c>
      <c r="L55" s="1">
        <f>K66/J55</f>
        <v>4.166666666666667</v>
      </c>
      <c r="M55" s="1">
        <f>SUM(M3:M53)</f>
        <v>17</v>
      </c>
      <c r="O55" s="1">
        <f>N66/M55</f>
        <v>8.823529411764707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-149.9996</v>
      </c>
      <c r="H57" s="37" t="s">
        <v>455</v>
      </c>
      <c r="I57" s="1">
        <f>SUM(I3:I53)</f>
        <v>-150.0004</v>
      </c>
      <c r="K57" s="37" t="s">
        <v>455</v>
      </c>
      <c r="L57" s="1">
        <f>SUM(L3:L53)</f>
        <v>-150.0008</v>
      </c>
      <c r="N57" s="37" t="s">
        <v>455</v>
      </c>
      <c r="O57" s="1">
        <f>SUM(O3:O53)</f>
        <v>-149.99949999999995</v>
      </c>
      <c r="Q57" s="37" t="s">
        <v>455</v>
      </c>
      <c r="R57" s="1">
        <f>SUM(R3:R53)</f>
        <v>0</v>
      </c>
      <c r="U57" s="24"/>
    </row>
    <row r="58" spans="2:21" ht="12.75">
      <c r="B58" s="41" t="s">
        <v>456</v>
      </c>
      <c r="C58" s="36">
        <f>SUM(C3:C53)</f>
        <v>2460.0025999999993</v>
      </c>
      <c r="E58" s="41"/>
      <c r="H58" s="41"/>
      <c r="K58" s="41"/>
      <c r="N58" s="41"/>
      <c r="Q58" s="41"/>
      <c r="U58" s="24"/>
    </row>
    <row r="59" spans="19:21" ht="12.75">
      <c r="S59" s="151" t="s">
        <v>8</v>
      </c>
      <c r="T59" s="151"/>
      <c r="U59" s="56">
        <f>SUM(U3:U53)</f>
        <v>2160.0022999999997</v>
      </c>
    </row>
    <row r="60" spans="4:18" ht="12.75" customHeight="1">
      <c r="D60" s="155" t="s">
        <v>472</v>
      </c>
      <c r="E60" s="161"/>
      <c r="F60" s="162"/>
      <c r="G60" s="155" t="s">
        <v>474</v>
      </c>
      <c r="H60" s="161"/>
      <c r="I60" s="162"/>
      <c r="J60" s="155" t="s">
        <v>478</v>
      </c>
      <c r="K60" s="161"/>
      <c r="L60" s="162"/>
      <c r="M60" s="155" t="s">
        <v>479</v>
      </c>
      <c r="N60" s="161"/>
      <c r="O60" s="162"/>
      <c r="P60" s="155"/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140</v>
      </c>
      <c r="F66" s="51"/>
      <c r="G66" s="52" t="s">
        <v>457</v>
      </c>
      <c r="H66" s="50">
        <f>H68-H84-H93</f>
        <v>140</v>
      </c>
      <c r="I66" s="51"/>
      <c r="J66" s="52" t="s">
        <v>457</v>
      </c>
      <c r="K66" s="50">
        <f>K68-K84-K93</f>
        <v>100</v>
      </c>
      <c r="L66" s="51"/>
      <c r="M66" s="52" t="s">
        <v>457</v>
      </c>
      <c r="N66" s="50">
        <f>N68-N84-N93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 t="s">
        <v>458</v>
      </c>
      <c r="K68" s="54">
        <f>150</f>
        <v>150</v>
      </c>
      <c r="L68" s="55"/>
      <c r="M68" s="110" t="s">
        <v>458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9"/>
      <c r="E74" s="150"/>
      <c r="F74" s="150"/>
      <c r="G74" s="149"/>
      <c r="H74" s="150"/>
      <c r="I74" s="150"/>
      <c r="J74" s="149"/>
      <c r="K74" s="150"/>
      <c r="L74" s="150"/>
      <c r="M74" s="149" t="s">
        <v>480</v>
      </c>
      <c r="N74" s="150"/>
      <c r="O74" s="150"/>
      <c r="P74" s="149"/>
      <c r="Q74" s="150"/>
      <c r="R74" s="150"/>
    </row>
    <row r="75" spans="4:18" ht="12.75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</row>
    <row r="76" spans="4:18" ht="13.5" customHeight="1"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</row>
    <row r="77" spans="4:18" ht="12.75">
      <c r="D77" s="149"/>
      <c r="E77" s="150"/>
      <c r="F77" s="150"/>
      <c r="G77" s="149"/>
      <c r="H77" s="150"/>
      <c r="I77" s="150"/>
      <c r="J77" s="149"/>
      <c r="K77" s="150"/>
      <c r="L77" s="150"/>
      <c r="M77" s="149"/>
      <c r="N77" s="150"/>
      <c r="O77" s="150"/>
      <c r="P77" s="149"/>
      <c r="Q77" s="150"/>
      <c r="R77" s="150"/>
    </row>
    <row r="78" spans="4:18" ht="12.75"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</row>
    <row r="79" spans="4:18" ht="14.25" customHeight="1"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</row>
    <row r="80" spans="4:17" ht="12.75">
      <c r="D80" s="153" t="s">
        <v>459</v>
      </c>
      <c r="E80" s="154"/>
      <c r="G80" s="153" t="s">
        <v>459</v>
      </c>
      <c r="H80" s="154"/>
      <c r="J80" s="153" t="s">
        <v>459</v>
      </c>
      <c r="K80" s="154"/>
      <c r="M80" s="153" t="s">
        <v>459</v>
      </c>
      <c r="N80" s="154"/>
      <c r="P80" s="153"/>
      <c r="Q80" s="154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 t="s">
        <v>473</v>
      </c>
      <c r="H82" s="1">
        <v>10</v>
      </c>
      <c r="J82" s="107" t="s">
        <v>89</v>
      </c>
      <c r="K82" s="1">
        <v>10</v>
      </c>
      <c r="M82" s="107"/>
      <c r="P82" s="107"/>
    </row>
    <row r="84" spans="5:17" ht="12.75">
      <c r="E84" s="37">
        <f>SUM(E82:E83)</f>
        <v>0</v>
      </c>
      <c r="H84" s="37">
        <f>SUM(H82:H83)</f>
        <v>10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461</v>
      </c>
      <c r="E87" s="154"/>
      <c r="G87" s="153" t="s">
        <v>461</v>
      </c>
      <c r="H87" s="154"/>
      <c r="J87" s="153" t="s">
        <v>461</v>
      </c>
      <c r="K87" s="154"/>
      <c r="M87" s="153" t="s">
        <v>461</v>
      </c>
      <c r="N87" s="154"/>
      <c r="P87" s="153"/>
      <c r="Q87" s="154"/>
    </row>
    <row r="88" spans="4:16" ht="12.75">
      <c r="D88" s="37"/>
      <c r="G88" s="37"/>
      <c r="J88" s="37"/>
      <c r="M88" s="37"/>
      <c r="P88" s="37"/>
    </row>
    <row r="89" spans="4:16" ht="24.75">
      <c r="D89" s="107"/>
      <c r="E89" s="1">
        <v>0</v>
      </c>
      <c r="G89" s="107"/>
      <c r="H89" s="1">
        <v>0</v>
      </c>
      <c r="J89" s="107" t="s">
        <v>475</v>
      </c>
      <c r="K89" s="1">
        <v>10</v>
      </c>
      <c r="M89" s="107"/>
      <c r="P89" s="107"/>
    </row>
    <row r="90" spans="4:16" ht="12.75">
      <c r="D90" s="1" t="s">
        <v>460</v>
      </c>
      <c r="E90" s="1">
        <v>10</v>
      </c>
      <c r="J90" s="1" t="s">
        <v>476</v>
      </c>
      <c r="K90" s="1">
        <v>10</v>
      </c>
      <c r="P90" s="37"/>
    </row>
    <row r="91" spans="10:16" ht="12.75">
      <c r="J91" s="1" t="s">
        <v>477</v>
      </c>
      <c r="K91" s="1">
        <v>10</v>
      </c>
      <c r="P91" s="37"/>
    </row>
    <row r="92" spans="10:13" ht="12.75">
      <c r="J92" s="37" t="s">
        <v>109</v>
      </c>
      <c r="K92" s="1">
        <v>10</v>
      </c>
      <c r="M92" s="37"/>
    </row>
    <row r="93" spans="5:14" ht="12.75">
      <c r="E93" s="1">
        <f>SUM(E89:E92)</f>
        <v>10</v>
      </c>
      <c r="H93" s="1">
        <f>SUM(H89:H92)</f>
        <v>0</v>
      </c>
      <c r="K93" s="1">
        <f>SUM(K89:K92)</f>
        <v>40</v>
      </c>
      <c r="N93" s="1">
        <f>SUM(N89:N92)</f>
        <v>0</v>
      </c>
    </row>
    <row r="95" spans="4:18" ht="12.75" customHeight="1">
      <c r="D95" s="152" t="s">
        <v>463</v>
      </c>
      <c r="E95" s="152"/>
      <c r="F95" s="152"/>
      <c r="G95" s="152" t="s">
        <v>463</v>
      </c>
      <c r="H95" s="152"/>
      <c r="I95" s="152"/>
      <c r="J95" s="152" t="s">
        <v>463</v>
      </c>
      <c r="K95" s="152"/>
      <c r="L95" s="152"/>
      <c r="M95" s="152" t="s">
        <v>463</v>
      </c>
      <c r="N95" s="152"/>
      <c r="O95" s="152"/>
      <c r="P95" s="152"/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6" t="s">
        <v>457</v>
      </c>
      <c r="E102" s="154"/>
      <c r="F102" s="154"/>
      <c r="G102" s="156" t="s">
        <v>457</v>
      </c>
      <c r="H102" s="154"/>
      <c r="I102" s="154"/>
      <c r="J102" s="156" t="s">
        <v>457</v>
      </c>
      <c r="K102" s="154"/>
      <c r="L102" s="154"/>
      <c r="M102" s="156" t="s">
        <v>457</v>
      </c>
      <c r="N102" s="154"/>
      <c r="O102" s="154"/>
      <c r="P102" s="156"/>
      <c r="Q102" s="154"/>
      <c r="R102" s="154"/>
    </row>
    <row r="103" spans="4:18" ht="12.75"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0">
      <selection activeCell="S77" sqref="S7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39998</v>
      </c>
      <c r="E1" s="158"/>
      <c r="F1" s="159"/>
      <c r="G1" s="18"/>
      <c r="H1" s="32">
        <v>40005</v>
      </c>
      <c r="I1" s="19"/>
      <c r="J1" s="44"/>
      <c r="K1" s="32">
        <v>40012</v>
      </c>
      <c r="L1" s="45"/>
      <c r="M1" s="18"/>
      <c r="N1" s="32">
        <v>40019</v>
      </c>
      <c r="O1" s="19"/>
      <c r="P1" s="18"/>
      <c r="Q1" s="32" t="s">
        <v>482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'2009年6月'!U3</f>
        <v>65.78749999999998</v>
      </c>
      <c r="D3" s="68">
        <v>1</v>
      </c>
      <c r="E3" s="69"/>
      <c r="F3" s="70">
        <f>-5.9091*D3</f>
        <v>-5.9091</v>
      </c>
      <c r="G3" s="68"/>
      <c r="H3" s="69"/>
      <c r="I3" s="70">
        <f>-5.9091*G3</f>
        <v>0</v>
      </c>
      <c r="J3" s="68"/>
      <c r="K3" s="69"/>
      <c r="L3" s="70">
        <f>-6.4706*J3</f>
        <v>0</v>
      </c>
      <c r="M3" s="68">
        <v>1</v>
      </c>
      <c r="N3" s="69"/>
      <c r="O3" s="70">
        <f>-8.75*M3</f>
        <v>-8.75</v>
      </c>
      <c r="P3" s="68"/>
      <c r="Q3" s="69"/>
      <c r="R3" s="70"/>
      <c r="S3" s="68"/>
      <c r="T3" s="72"/>
      <c r="U3" s="101">
        <f aca="true" t="shared" si="0" ref="U3:U34">C3+E3+F3+H3+I3+K3+L3+N3+O3+T3+Q3+R3</f>
        <v>51.12839999999998</v>
      </c>
    </row>
    <row r="4" spans="1:21" ht="12.75">
      <c r="A4" s="2">
        <v>2</v>
      </c>
      <c r="B4" s="100" t="s">
        <v>3</v>
      </c>
      <c r="C4" s="67">
        <f>'2009年6月'!U4</f>
        <v>63.916</v>
      </c>
      <c r="D4" s="68"/>
      <c r="E4" s="69"/>
      <c r="F4" s="70">
        <f aca="true" t="shared" si="1" ref="F4:F53">-5.9091*D4</f>
        <v>0</v>
      </c>
      <c r="G4" s="68">
        <v>1</v>
      </c>
      <c r="H4" s="69"/>
      <c r="I4" s="70">
        <f aca="true" t="shared" si="2" ref="I4:I53">-5.9091*G4</f>
        <v>-5.9091</v>
      </c>
      <c r="J4" s="68"/>
      <c r="K4" s="69"/>
      <c r="L4" s="70">
        <f aca="true" t="shared" si="3" ref="L4:L53">-6.4706*J4</f>
        <v>0</v>
      </c>
      <c r="M4" s="68"/>
      <c r="N4" s="69"/>
      <c r="O4" s="70">
        <f aca="true" t="shared" si="4" ref="O4:O53">-8.75*M4</f>
        <v>0</v>
      </c>
      <c r="P4" s="68"/>
      <c r="Q4" s="69"/>
      <c r="R4" s="70"/>
      <c r="S4" s="73"/>
      <c r="T4" s="72"/>
      <c r="U4" s="101">
        <f t="shared" si="0"/>
        <v>58.006899999999995</v>
      </c>
    </row>
    <row r="5" spans="1:21" ht="12.75">
      <c r="A5" s="2">
        <v>3</v>
      </c>
      <c r="B5" s="102" t="s">
        <v>13</v>
      </c>
      <c r="C5" s="67">
        <f>'2009年6月'!U5</f>
        <v>77.2326</v>
      </c>
      <c r="D5" s="68"/>
      <c r="E5" s="69"/>
      <c r="F5" s="70">
        <f t="shared" si="1"/>
        <v>0</v>
      </c>
      <c r="G5" s="68">
        <v>1</v>
      </c>
      <c r="H5" s="69"/>
      <c r="I5" s="70">
        <f t="shared" si="2"/>
        <v>-5.9091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20</v>
      </c>
      <c r="C6" s="74">
        <f>'2009年6月'!U6</f>
        <v>33.135000000000005</v>
      </c>
      <c r="D6" s="80">
        <v>1</v>
      </c>
      <c r="E6" s="76"/>
      <c r="F6" s="77">
        <f t="shared" si="1"/>
        <v>-5.9091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-6.4706</v>
      </c>
      <c r="M6" s="80"/>
      <c r="N6" s="76"/>
      <c r="O6" s="77">
        <f t="shared" si="4"/>
        <v>0</v>
      </c>
      <c r="P6" s="80"/>
      <c r="Q6" s="76"/>
      <c r="R6" s="77"/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46</v>
      </c>
      <c r="C7" s="74">
        <f>'2009年6月'!U7</f>
        <v>75.40520000000001</v>
      </c>
      <c r="D7" s="75">
        <v>1</v>
      </c>
      <c r="E7" s="76"/>
      <c r="F7" s="77">
        <f t="shared" si="1"/>
        <v>-5.9091</v>
      </c>
      <c r="G7" s="75">
        <v>1</v>
      </c>
      <c r="H7" s="76"/>
      <c r="I7" s="77">
        <f t="shared" si="2"/>
        <v>-5.9091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63.58700000000001</v>
      </c>
    </row>
    <row r="8" spans="1:21" ht="12.75">
      <c r="A8" s="2">
        <v>6</v>
      </c>
      <c r="B8" s="103" t="s">
        <v>47</v>
      </c>
      <c r="C8" s="74">
        <f>'2009年6月'!U8</f>
        <v>88.10650000000001</v>
      </c>
      <c r="D8" s="75">
        <v>1</v>
      </c>
      <c r="E8" s="76"/>
      <c r="F8" s="77">
        <f t="shared" si="1"/>
        <v>-5.9091</v>
      </c>
      <c r="G8" s="75">
        <v>1</v>
      </c>
      <c r="H8" s="76"/>
      <c r="I8" s="77">
        <f t="shared" si="2"/>
        <v>-5.9091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93</v>
      </c>
      <c r="C9" s="88">
        <f>'2009年6月'!U9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f>'2009年6月'!U10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f>'2009年6月'!U11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27</v>
      </c>
      <c r="C12" s="81">
        <f>'2009年6月'!U12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96</v>
      </c>
      <c r="C13" s="81">
        <f>'2009年6月'!U13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29</v>
      </c>
      <c r="C14" s="81">
        <f>'2009年6月'!U14</f>
        <v>42.546099999999996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 t="shared" si="4"/>
        <v>-8.75</v>
      </c>
      <c r="P14" s="82"/>
      <c r="Q14" s="83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30</v>
      </c>
      <c r="C15" s="60">
        <f>'2009年6月'!U15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f>'2009年6月'!U16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f>'2009年6月'!U17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f>'2009年6月'!U18</f>
        <v>7.090599999999988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-5.9091</v>
      </c>
      <c r="J18" s="68">
        <v>1</v>
      </c>
      <c r="K18" s="69"/>
      <c r="L18" s="70">
        <f>-6.4706*J18-10</f>
        <v>-16.4706</v>
      </c>
      <c r="M18" s="68">
        <v>1</v>
      </c>
      <c r="N18" s="69">
        <v>100</v>
      </c>
      <c r="O18" s="70">
        <f t="shared" si="4"/>
        <v>-8.75</v>
      </c>
      <c r="P18" s="68"/>
      <c r="Q18" s="69"/>
      <c r="R18" s="70"/>
      <c r="S18" s="68"/>
      <c r="T18" s="72"/>
      <c r="U18" s="101">
        <f t="shared" si="0"/>
        <v>75.96089999999998</v>
      </c>
    </row>
    <row r="19" spans="1:23" ht="12.75">
      <c r="A19" s="2">
        <v>17</v>
      </c>
      <c r="B19" s="102" t="s">
        <v>56</v>
      </c>
      <c r="C19" s="67">
        <f>'2009年6月'!U19</f>
        <v>72.88030000000002</v>
      </c>
      <c r="D19" s="68">
        <v>2</v>
      </c>
      <c r="E19" s="69"/>
      <c r="F19" s="70">
        <f t="shared" si="1"/>
        <v>-11.8182</v>
      </c>
      <c r="G19" s="68">
        <v>2</v>
      </c>
      <c r="H19" s="69"/>
      <c r="I19" s="70">
        <f t="shared" si="2"/>
        <v>-11.8182</v>
      </c>
      <c r="J19" s="68">
        <v>2</v>
      </c>
      <c r="K19" s="69"/>
      <c r="L19" s="70">
        <f t="shared" si="3"/>
        <v>-12.9412</v>
      </c>
      <c r="M19" s="68">
        <v>1</v>
      </c>
      <c r="N19" s="69"/>
      <c r="O19" s="70">
        <f t="shared" si="4"/>
        <v>-8.75</v>
      </c>
      <c r="P19" s="68"/>
      <c r="Q19" s="69"/>
      <c r="R19" s="70"/>
      <c r="S19" s="73"/>
      <c r="T19" s="72"/>
      <c r="U19" s="101">
        <f t="shared" si="0"/>
        <v>27.552700000000023</v>
      </c>
      <c r="W19" s="37"/>
    </row>
    <row r="20" spans="1:21" ht="12.75">
      <c r="A20" s="2">
        <v>18</v>
      </c>
      <c r="B20" s="102" t="s">
        <v>57</v>
      </c>
      <c r="C20" s="67">
        <f>'2009年6月'!U20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-6.4706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69</v>
      </c>
      <c r="C21" s="74">
        <f>'2009年6月'!U21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f>'2009年6月'!U22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41</v>
      </c>
      <c r="C23" s="74">
        <f>'2009年6月'!U23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64</v>
      </c>
      <c r="C24" s="88">
        <f>'2009年6月'!U24</f>
        <v>3.519399999999993</v>
      </c>
      <c r="D24" s="89">
        <v>1</v>
      </c>
      <c r="E24" s="90"/>
      <c r="F24" s="91">
        <f t="shared" si="1"/>
        <v>-5.9091</v>
      </c>
      <c r="G24" s="89">
        <v>1</v>
      </c>
      <c r="H24" s="90"/>
      <c r="I24" s="91">
        <f t="shared" si="2"/>
        <v>-5.9091</v>
      </c>
      <c r="J24" s="89">
        <v>1</v>
      </c>
      <c r="K24" s="90"/>
      <c r="L24" s="91">
        <f>-6.4706*J24-10</f>
        <v>-16.4706</v>
      </c>
      <c r="M24" s="89">
        <v>1</v>
      </c>
      <c r="N24" s="90">
        <v>100</v>
      </c>
      <c r="O24" s="91">
        <f t="shared" si="4"/>
        <v>-8.75</v>
      </c>
      <c r="P24" s="89"/>
      <c r="Q24" s="90"/>
      <c r="R24" s="91"/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45</v>
      </c>
      <c r="C25" s="88">
        <f>'2009年6月'!U25</f>
        <v>8.915299999999984</v>
      </c>
      <c r="D25" s="89">
        <v>1</v>
      </c>
      <c r="E25" s="90"/>
      <c r="F25" s="91">
        <f t="shared" si="1"/>
        <v>-5.9091</v>
      </c>
      <c r="G25" s="89">
        <v>1</v>
      </c>
      <c r="H25" s="90"/>
      <c r="I25" s="91">
        <f t="shared" si="2"/>
        <v>-5.9091</v>
      </c>
      <c r="J25" s="89">
        <v>1</v>
      </c>
      <c r="K25" s="90"/>
      <c r="L25" s="91">
        <f t="shared" si="3"/>
        <v>-6.4706</v>
      </c>
      <c r="M25" s="89">
        <v>1</v>
      </c>
      <c r="N25" s="90"/>
      <c r="O25" s="91">
        <f t="shared" si="4"/>
        <v>-8.75</v>
      </c>
      <c r="P25" s="89"/>
      <c r="Q25" s="90"/>
      <c r="R25" s="91"/>
      <c r="S25" s="89"/>
      <c r="T25" s="93"/>
      <c r="U25" s="101">
        <f t="shared" si="0"/>
        <v>-18.123500000000014</v>
      </c>
    </row>
    <row r="26" spans="1:21" ht="12.75">
      <c r="A26" s="2">
        <v>24</v>
      </c>
      <c r="B26" s="106" t="s">
        <v>77</v>
      </c>
      <c r="C26" s="88">
        <f>'2009年6月'!U26</f>
        <v>17.869699999999987</v>
      </c>
      <c r="D26" s="89">
        <v>2</v>
      </c>
      <c r="E26" s="90"/>
      <c r="F26" s="91">
        <f t="shared" si="1"/>
        <v>-11.8182</v>
      </c>
      <c r="G26" s="89">
        <v>1</v>
      </c>
      <c r="H26" s="90"/>
      <c r="I26" s="91">
        <f t="shared" si="2"/>
        <v>-5.9091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-8.75</v>
      </c>
      <c r="P26" s="89"/>
      <c r="Q26" s="90"/>
      <c r="R26" s="91"/>
      <c r="S26" s="94"/>
      <c r="T26" s="93"/>
      <c r="U26" s="101">
        <f t="shared" si="0"/>
        <v>91.3924</v>
      </c>
    </row>
    <row r="27" spans="1:21" ht="12.75">
      <c r="A27" s="2">
        <v>25</v>
      </c>
      <c r="B27" s="104" t="s">
        <v>97</v>
      </c>
      <c r="C27" s="81">
        <f>'2009年6月'!U27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f>'2009年6月'!U28</f>
        <v>30.91529999999999</v>
      </c>
      <c r="D28" s="86">
        <v>1</v>
      </c>
      <c r="E28" s="98"/>
      <c r="F28" s="84">
        <f t="shared" si="1"/>
        <v>-5.9091</v>
      </c>
      <c r="G28" s="86">
        <v>1</v>
      </c>
      <c r="H28" s="98"/>
      <c r="I28" s="84">
        <f t="shared" si="2"/>
        <v>-5.9091</v>
      </c>
      <c r="J28" s="86">
        <v>1</v>
      </c>
      <c r="K28" s="98"/>
      <c r="L28" s="84">
        <f t="shared" si="3"/>
        <v>-6.4706</v>
      </c>
      <c r="M28" s="86">
        <v>1</v>
      </c>
      <c r="N28" s="98"/>
      <c r="O28" s="84">
        <f t="shared" si="4"/>
        <v>-8.75</v>
      </c>
      <c r="P28" s="86"/>
      <c r="Q28" s="98"/>
      <c r="R28" s="84"/>
      <c r="S28" s="86"/>
      <c r="T28" s="87"/>
      <c r="U28" s="101">
        <f t="shared" si="0"/>
        <v>3.876499999999993</v>
      </c>
    </row>
    <row r="29" spans="1:21" ht="12.75">
      <c r="A29" s="2">
        <v>27</v>
      </c>
      <c r="B29" s="104" t="s">
        <v>172</v>
      </c>
      <c r="C29" s="81">
        <f>'2009年6月'!U29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f>'2009年6月'!U30</f>
        <v>2.144599999999995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-6.4706</v>
      </c>
      <c r="M30" s="66">
        <v>1</v>
      </c>
      <c r="N30" s="99">
        <v>100</v>
      </c>
      <c r="O30" s="63">
        <f t="shared" si="4"/>
        <v>-8.75</v>
      </c>
      <c r="P30" s="66"/>
      <c r="Q30" s="99"/>
      <c r="R30" s="63"/>
      <c r="S30" s="66"/>
      <c r="T30" s="65"/>
      <c r="U30" s="101">
        <f t="shared" si="0"/>
        <v>86.92399999999999</v>
      </c>
      <c r="V30" s="37"/>
    </row>
    <row r="31" spans="1:21" ht="12.75">
      <c r="A31" s="2">
        <v>29</v>
      </c>
      <c r="B31" s="105" t="s">
        <v>89</v>
      </c>
      <c r="C31" s="60">
        <f>'2009年6月'!U31</f>
        <v>-7.286999999999999</v>
      </c>
      <c r="D31" s="61">
        <v>1</v>
      </c>
      <c r="E31" s="99"/>
      <c r="F31" s="63">
        <f t="shared" si="1"/>
        <v>-5.9091</v>
      </c>
      <c r="G31" s="61">
        <v>1</v>
      </c>
      <c r="H31" s="99"/>
      <c r="I31" s="63">
        <f t="shared" si="2"/>
        <v>-5.9091</v>
      </c>
      <c r="J31" s="61">
        <v>1</v>
      </c>
      <c r="K31" s="99"/>
      <c r="L31" s="63">
        <f t="shared" si="3"/>
        <v>-6.4706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-25.575799999999997</v>
      </c>
    </row>
    <row r="32" spans="1:21" ht="12.75">
      <c r="A32" s="2">
        <v>30</v>
      </c>
      <c r="B32" s="105" t="s">
        <v>166</v>
      </c>
      <c r="C32" s="60">
        <f>'2009年6月'!U32</f>
        <v>34.654499999999985</v>
      </c>
      <c r="D32" s="66">
        <v>1</v>
      </c>
      <c r="E32" s="99"/>
      <c r="F32" s="63">
        <f t="shared" si="1"/>
        <v>-5.9091</v>
      </c>
      <c r="G32" s="66">
        <v>1</v>
      </c>
      <c r="H32" s="99"/>
      <c r="I32" s="63">
        <f t="shared" si="2"/>
        <v>-5.9091</v>
      </c>
      <c r="J32" s="66">
        <v>1</v>
      </c>
      <c r="K32" s="99"/>
      <c r="L32" s="63">
        <f t="shared" si="3"/>
        <v>-6.4706</v>
      </c>
      <c r="M32" s="66">
        <v>1</v>
      </c>
      <c r="N32" s="99">
        <v>100</v>
      </c>
      <c r="O32" s="63">
        <f t="shared" si="4"/>
        <v>-8.75</v>
      </c>
      <c r="P32" s="66"/>
      <c r="Q32" s="99"/>
      <c r="R32" s="63"/>
      <c r="S32" s="66"/>
      <c r="T32" s="65"/>
      <c r="U32" s="101">
        <f t="shared" si="0"/>
        <v>107.61569999999999</v>
      </c>
    </row>
    <row r="33" spans="1:21" ht="12.75">
      <c r="A33" s="2">
        <v>31</v>
      </c>
      <c r="B33" s="102" t="s">
        <v>167</v>
      </c>
      <c r="C33" s="67">
        <f>'2009年6月'!U33</f>
        <v>73.1935</v>
      </c>
      <c r="D33" s="68">
        <v>1</v>
      </c>
      <c r="E33" s="69"/>
      <c r="F33" s="70">
        <f t="shared" si="1"/>
        <v>-5.9091</v>
      </c>
      <c r="G33" s="68">
        <v>1</v>
      </c>
      <c r="H33" s="69"/>
      <c r="I33" s="70">
        <f t="shared" si="2"/>
        <v>-5.9091</v>
      </c>
      <c r="J33" s="68">
        <v>1</v>
      </c>
      <c r="K33" s="69"/>
      <c r="L33" s="70">
        <f t="shared" si="3"/>
        <v>-6.4706</v>
      </c>
      <c r="M33" s="68">
        <v>1</v>
      </c>
      <c r="N33" s="69"/>
      <c r="O33" s="70">
        <f t="shared" si="4"/>
        <v>-8.75</v>
      </c>
      <c r="P33" s="68"/>
      <c r="Q33" s="69"/>
      <c r="R33" s="70"/>
      <c r="S33" s="68"/>
      <c r="T33" s="72"/>
      <c r="U33" s="101">
        <f t="shared" si="0"/>
        <v>46.154700000000005</v>
      </c>
    </row>
    <row r="34" spans="1:21" ht="12.75">
      <c r="A34" s="2">
        <v>32</v>
      </c>
      <c r="B34" s="102" t="s">
        <v>106</v>
      </c>
      <c r="C34" s="67">
        <f>'2009年6月'!U34</f>
        <v>27.048999999999968</v>
      </c>
      <c r="D34" s="68">
        <v>1</v>
      </c>
      <c r="E34" s="69"/>
      <c r="F34" s="70">
        <f t="shared" si="1"/>
        <v>-5.9091</v>
      </c>
      <c r="G34" s="68">
        <v>1</v>
      </c>
      <c r="H34" s="69"/>
      <c r="I34" s="70">
        <f t="shared" si="2"/>
        <v>-5.9091</v>
      </c>
      <c r="J34" s="68">
        <v>1</v>
      </c>
      <c r="K34" s="69"/>
      <c r="L34" s="70">
        <f t="shared" si="3"/>
        <v>-6.4706</v>
      </c>
      <c r="M34" s="68"/>
      <c r="N34" s="69"/>
      <c r="O34" s="70">
        <f t="shared" si="4"/>
        <v>0</v>
      </c>
      <c r="P34" s="68"/>
      <c r="Q34" s="69"/>
      <c r="R34" s="70"/>
      <c r="S34" s="73"/>
      <c r="T34" s="72"/>
      <c r="U34" s="101">
        <f t="shared" si="0"/>
        <v>8.76019999999997</v>
      </c>
    </row>
    <row r="35" spans="1:21" ht="12.75">
      <c r="A35" s="2">
        <v>33</v>
      </c>
      <c r="B35" s="102" t="s">
        <v>168</v>
      </c>
      <c r="C35" s="67">
        <f>'2009年6月'!U35</f>
        <v>70.33330000000001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-5.9091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109</v>
      </c>
      <c r="C36" s="74">
        <f>'2009年6月'!U36</f>
        <v>16.594900000000003</v>
      </c>
      <c r="D36" s="75">
        <v>1</v>
      </c>
      <c r="E36" s="76"/>
      <c r="F36" s="77">
        <f t="shared" si="1"/>
        <v>-5.9091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116</v>
      </c>
      <c r="C37" s="74">
        <f>'2009年6月'!U37</f>
        <v>90.98399999999998</v>
      </c>
      <c r="D37" s="75">
        <v>1</v>
      </c>
      <c r="E37" s="76"/>
      <c r="F37" s="77">
        <f t="shared" si="1"/>
        <v>-5.9091</v>
      </c>
      <c r="G37" s="75">
        <v>1</v>
      </c>
      <c r="H37" s="76">
        <v>150</v>
      </c>
      <c r="I37" s="77">
        <f t="shared" si="2"/>
        <v>-5.9091</v>
      </c>
      <c r="J37" s="75">
        <v>1</v>
      </c>
      <c r="K37" s="76"/>
      <c r="L37" s="77">
        <f t="shared" si="3"/>
        <v>-6.4706</v>
      </c>
      <c r="M37" s="75">
        <v>1</v>
      </c>
      <c r="N37" s="76"/>
      <c r="O37" s="77">
        <f t="shared" si="4"/>
        <v>-8.75</v>
      </c>
      <c r="P37" s="75"/>
      <c r="Q37" s="76"/>
      <c r="R37" s="77"/>
      <c r="S37" s="75"/>
      <c r="T37" s="79"/>
      <c r="U37" s="101">
        <f t="shared" si="5"/>
        <v>213.9452</v>
      </c>
      <c r="V37" s="37"/>
    </row>
    <row r="38" spans="1:21" ht="12.75">
      <c r="A38" s="2">
        <v>36</v>
      </c>
      <c r="B38" s="103" t="s">
        <v>169</v>
      </c>
      <c r="C38" s="74">
        <f>'2009年6月'!U38</f>
        <v>40.93350000000001</v>
      </c>
      <c r="D38" s="75">
        <v>1</v>
      </c>
      <c r="E38" s="76"/>
      <c r="F38" s="77">
        <f t="shared" si="1"/>
        <v>-5.9091</v>
      </c>
      <c r="G38" s="75">
        <v>1</v>
      </c>
      <c r="H38" s="76"/>
      <c r="I38" s="77">
        <f t="shared" si="2"/>
        <v>-5.9091</v>
      </c>
      <c r="J38" s="75">
        <v>1</v>
      </c>
      <c r="K38" s="76"/>
      <c r="L38" s="77">
        <f t="shared" si="3"/>
        <v>-6.4706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22.644700000000007</v>
      </c>
    </row>
    <row r="39" spans="1:21" ht="12.75">
      <c r="A39" s="2">
        <v>37</v>
      </c>
      <c r="B39" s="106" t="s">
        <v>117</v>
      </c>
      <c r="C39" s="88">
        <f>'2009年6月'!U39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125</v>
      </c>
      <c r="C40" s="88">
        <f>'2009年6月'!U40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146</v>
      </c>
      <c r="C41" s="88">
        <f>'2009年6月'!U41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150</v>
      </c>
      <c r="C42" s="81">
        <f>'2009年6月'!U42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151</v>
      </c>
      <c r="C43" s="81">
        <f>'2009年6月'!U43</f>
        <v>-8.3886</v>
      </c>
      <c r="D43" s="86"/>
      <c r="E43" s="98"/>
      <c r="F43" s="84">
        <f t="shared" si="1"/>
        <v>0</v>
      </c>
      <c r="G43" s="86">
        <v>1</v>
      </c>
      <c r="H43" s="98"/>
      <c r="I43" s="84">
        <f t="shared" si="2"/>
        <v>-5.9091</v>
      </c>
      <c r="J43" s="86">
        <v>1</v>
      </c>
      <c r="K43" s="98"/>
      <c r="L43" s="84">
        <f t="shared" si="3"/>
        <v>-6.4706</v>
      </c>
      <c r="M43" s="86">
        <v>1</v>
      </c>
      <c r="N43" s="98"/>
      <c r="O43" s="84">
        <f t="shared" si="4"/>
        <v>-8.75</v>
      </c>
      <c r="P43" s="86"/>
      <c r="Q43" s="98"/>
      <c r="R43" s="84"/>
      <c r="S43" s="86"/>
      <c r="T43" s="87"/>
      <c r="U43" s="101">
        <f t="shared" si="5"/>
        <v>-29.5183</v>
      </c>
    </row>
    <row r="44" spans="1:21" ht="12.75">
      <c r="A44" s="2">
        <v>42</v>
      </c>
      <c r="B44" s="104" t="s">
        <v>156</v>
      </c>
      <c r="C44" s="81">
        <f>'2009年6月'!U44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157</v>
      </c>
      <c r="C45" s="60">
        <f>'2009年6月'!U45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'2009年6月'!U46</f>
        <v>76.389</v>
      </c>
      <c r="D46" s="61">
        <v>1</v>
      </c>
      <c r="E46" s="99"/>
      <c r="F46" s="63">
        <f t="shared" si="1"/>
        <v>-5.9091</v>
      </c>
      <c r="G46" s="61">
        <v>1</v>
      </c>
      <c r="H46" s="99"/>
      <c r="I46" s="63">
        <f t="shared" si="2"/>
        <v>-5.9091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/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173</v>
      </c>
      <c r="C47" s="60">
        <f>'2009年6月'!U47</f>
        <v>-1.5448000000000173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-5.9091</v>
      </c>
      <c r="J47" s="66">
        <v>1</v>
      </c>
      <c r="K47" s="99"/>
      <c r="L47" s="63">
        <f t="shared" si="3"/>
        <v>-6.4706</v>
      </c>
      <c r="M47" s="66">
        <v>1</v>
      </c>
      <c r="N47" s="99">
        <v>100</v>
      </c>
      <c r="O47" s="63">
        <f t="shared" si="4"/>
        <v>-8.75</v>
      </c>
      <c r="P47" s="66"/>
      <c r="Q47" s="99"/>
      <c r="R47" s="63"/>
      <c r="S47" s="66"/>
      <c r="T47" s="65"/>
      <c r="U47" s="101">
        <f t="shared" si="5"/>
        <v>77.32549999999998</v>
      </c>
    </row>
    <row r="48" spans="1:21" ht="12.75">
      <c r="A48" s="2">
        <v>46</v>
      </c>
      <c r="B48" s="102" t="s">
        <v>249</v>
      </c>
      <c r="C48" s="67">
        <f>'2009年6月'!U48</f>
        <v>36.2619</v>
      </c>
      <c r="D48" s="68">
        <v>1</v>
      </c>
      <c r="E48" s="69"/>
      <c r="F48" s="70">
        <f>-5.9091*D48-10</f>
        <v>-15.909099999999999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-8.75</v>
      </c>
      <c r="P48" s="68"/>
      <c r="Q48" s="69"/>
      <c r="R48" s="70"/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260</v>
      </c>
      <c r="C49" s="67">
        <f>'2009年6月'!U49</f>
        <v>17.2155</v>
      </c>
      <c r="D49" s="68">
        <v>2</v>
      </c>
      <c r="E49" s="69"/>
      <c r="F49" s="70">
        <f t="shared" si="1"/>
        <v>-11.8182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481</v>
      </c>
      <c r="C50" s="67">
        <f>'2009年6月'!U50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272</v>
      </c>
      <c r="C51" s="74">
        <f>'2009年6月'!U51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335</v>
      </c>
      <c r="C52" s="74">
        <f>'2009年6月'!U52</f>
        <v>8.793400000000002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-5.9091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-8.75</v>
      </c>
      <c r="P52" s="80"/>
      <c r="Q52" s="96"/>
      <c r="R52" s="77"/>
      <c r="S52" s="75"/>
      <c r="T52" s="79"/>
      <c r="U52" s="101">
        <f t="shared" si="5"/>
        <v>-5.865699999999998</v>
      </c>
    </row>
    <row r="53" spans="1:21" ht="12.75">
      <c r="A53" s="2">
        <v>51</v>
      </c>
      <c r="B53" s="116">
        <v>2007</v>
      </c>
      <c r="C53" s="74">
        <f>'2009年6月'!U53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5.909090909090909</v>
      </c>
      <c r="G55" s="1">
        <f>SUM(G3:G53)</f>
        <v>22</v>
      </c>
      <c r="I55" s="1">
        <f>H66/G55</f>
        <v>5.909090909090909</v>
      </c>
      <c r="J55" s="1">
        <f>SUM(J3:J53)</f>
        <v>17</v>
      </c>
      <c r="L55" s="1">
        <f>K66/J55</f>
        <v>6.470588235294118</v>
      </c>
      <c r="M55" s="1">
        <f>SUM(M3:M53)</f>
        <v>16</v>
      </c>
      <c r="O55" s="1">
        <f>N66/M55</f>
        <v>8.75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-140.00019999999995</v>
      </c>
      <c r="H57" s="37" t="s">
        <v>118</v>
      </c>
      <c r="I57" s="1">
        <f>SUM(I3:I53)</f>
        <v>-130.00019999999995</v>
      </c>
      <c r="K57" s="37" t="s">
        <v>118</v>
      </c>
      <c r="L57" s="1">
        <f>SUM(L3:L53)</f>
        <v>-130.00020000000004</v>
      </c>
      <c r="N57" s="37" t="s">
        <v>118</v>
      </c>
      <c r="O57" s="1">
        <f>SUM(O3:O53)</f>
        <v>-140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2160.0022999999997</v>
      </c>
      <c r="E58" s="41"/>
      <c r="H58" s="41"/>
      <c r="K58" s="41"/>
      <c r="N58" s="41"/>
      <c r="Q58" s="41"/>
      <c r="U58" s="24"/>
    </row>
    <row r="59" spans="19:21" ht="12.75">
      <c r="S59" s="151" t="s">
        <v>8</v>
      </c>
      <c r="T59" s="151"/>
      <c r="U59" s="56">
        <f>SUM(U3:U53)</f>
        <v>2370.0017000000007</v>
      </c>
    </row>
    <row r="60" spans="4:18" ht="12.75" customHeight="1">
      <c r="D60" s="155" t="s">
        <v>483</v>
      </c>
      <c r="E60" s="161"/>
      <c r="F60" s="162"/>
      <c r="G60" s="155" t="s">
        <v>485</v>
      </c>
      <c r="H60" s="161"/>
      <c r="I60" s="162"/>
      <c r="J60" s="155" t="s">
        <v>492</v>
      </c>
      <c r="K60" s="161"/>
      <c r="L60" s="162"/>
      <c r="M60" s="155" t="s">
        <v>493</v>
      </c>
      <c r="N60" s="161"/>
      <c r="O60" s="162"/>
      <c r="P60" s="155"/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130</v>
      </c>
      <c r="F66" s="51"/>
      <c r="G66" s="52" t="s">
        <v>261</v>
      </c>
      <c r="H66" s="50">
        <f>H68-H84-H93</f>
        <v>130</v>
      </c>
      <c r="I66" s="51"/>
      <c r="J66" s="52" t="s">
        <v>261</v>
      </c>
      <c r="K66" s="50">
        <f>K68-K84-K93</f>
        <v>110</v>
      </c>
      <c r="L66" s="51"/>
      <c r="M66" s="52" t="s">
        <v>261</v>
      </c>
      <c r="N66" s="50">
        <f>N68-N84-N93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f>150</f>
        <v>150</v>
      </c>
      <c r="F68" s="55"/>
      <c r="G68" s="110" t="s">
        <v>19</v>
      </c>
      <c r="H68" s="54">
        <f>150</f>
        <v>150</v>
      </c>
      <c r="I68" s="55"/>
      <c r="J68" s="110" t="s">
        <v>19</v>
      </c>
      <c r="K68" s="54">
        <f>150</f>
        <v>150</v>
      </c>
      <c r="L68" s="55"/>
      <c r="M68" s="110" t="s">
        <v>19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9" t="s">
        <v>488</v>
      </c>
      <c r="E74" s="150"/>
      <c r="F74" s="150"/>
      <c r="G74" s="149" t="s">
        <v>489</v>
      </c>
      <c r="H74" s="149"/>
      <c r="I74" s="149"/>
      <c r="J74" s="149" t="s">
        <v>489</v>
      </c>
      <c r="K74" s="149"/>
      <c r="L74" s="149"/>
      <c r="M74" s="149" t="s">
        <v>489</v>
      </c>
      <c r="N74" s="149"/>
      <c r="O74" s="149"/>
      <c r="P74" s="149"/>
      <c r="Q74" s="150"/>
      <c r="R74" s="150"/>
    </row>
    <row r="75" spans="4:18" ht="12.75">
      <c r="D75" s="150"/>
      <c r="E75" s="150"/>
      <c r="F75" s="150"/>
      <c r="G75" s="149"/>
      <c r="H75" s="149"/>
      <c r="I75" s="149"/>
      <c r="J75" s="149"/>
      <c r="K75" s="149"/>
      <c r="L75" s="149"/>
      <c r="M75" s="149"/>
      <c r="N75" s="149"/>
      <c r="O75" s="149"/>
      <c r="P75" s="150"/>
      <c r="Q75" s="150"/>
      <c r="R75" s="150"/>
    </row>
    <row r="76" spans="4:18" ht="13.5" customHeight="1">
      <c r="D76" s="150"/>
      <c r="E76" s="150"/>
      <c r="F76" s="150"/>
      <c r="G76" s="149"/>
      <c r="H76" s="149"/>
      <c r="I76" s="149"/>
      <c r="J76" s="149"/>
      <c r="K76" s="149"/>
      <c r="L76" s="149"/>
      <c r="M76" s="149"/>
      <c r="N76" s="149"/>
      <c r="O76" s="149"/>
      <c r="P76" s="150"/>
      <c r="Q76" s="150"/>
      <c r="R76" s="150"/>
    </row>
    <row r="77" spans="4:18" ht="12.75" customHeight="1">
      <c r="D77" s="149"/>
      <c r="E77" s="150"/>
      <c r="F77" s="150"/>
      <c r="G77" s="149" t="s">
        <v>491</v>
      </c>
      <c r="H77" s="149"/>
      <c r="I77" s="149"/>
      <c r="J77" s="149" t="s">
        <v>491</v>
      </c>
      <c r="K77" s="149"/>
      <c r="L77" s="149"/>
      <c r="M77" s="149" t="s">
        <v>494</v>
      </c>
      <c r="N77" s="149"/>
      <c r="O77" s="149"/>
      <c r="P77" s="149"/>
      <c r="Q77" s="150"/>
      <c r="R77" s="150"/>
    </row>
    <row r="78" spans="4:18" ht="12.75">
      <c r="D78" s="150"/>
      <c r="E78" s="150"/>
      <c r="F78" s="150"/>
      <c r="G78" s="149"/>
      <c r="H78" s="149"/>
      <c r="I78" s="149"/>
      <c r="J78" s="149"/>
      <c r="K78" s="149"/>
      <c r="L78" s="149"/>
      <c r="M78" s="149"/>
      <c r="N78" s="149"/>
      <c r="O78" s="149"/>
      <c r="P78" s="150"/>
      <c r="Q78" s="150"/>
      <c r="R78" s="150"/>
    </row>
    <row r="79" spans="4:18" ht="14.25" customHeight="1">
      <c r="D79" s="150"/>
      <c r="E79" s="150"/>
      <c r="F79" s="150"/>
      <c r="G79" s="149"/>
      <c r="H79" s="149"/>
      <c r="I79" s="149"/>
      <c r="J79" s="149"/>
      <c r="K79" s="149"/>
      <c r="L79" s="149"/>
      <c r="M79" s="149"/>
      <c r="N79" s="149"/>
      <c r="O79" s="149"/>
      <c r="P79" s="150"/>
      <c r="Q79" s="150"/>
      <c r="R79" s="150"/>
    </row>
    <row r="80" spans="4:17" ht="12.75">
      <c r="D80" s="153" t="s">
        <v>81</v>
      </c>
      <c r="E80" s="154"/>
      <c r="G80" s="153" t="s">
        <v>81</v>
      </c>
      <c r="H80" s="153"/>
      <c r="J80" s="153" t="s">
        <v>81</v>
      </c>
      <c r="K80" s="153"/>
      <c r="M80" s="153" t="s">
        <v>81</v>
      </c>
      <c r="N80" s="153"/>
      <c r="P80" s="153"/>
      <c r="Q80" s="154"/>
    </row>
    <row r="81" spans="4:16" ht="12.75" customHeight="1">
      <c r="D81" s="37"/>
      <c r="G81" s="37"/>
      <c r="J81" s="37" t="s">
        <v>490</v>
      </c>
      <c r="K81" s="1">
        <v>10</v>
      </c>
      <c r="M81" s="37"/>
      <c r="P81" s="37"/>
    </row>
    <row r="82" spans="4:16" ht="12.75" customHeight="1">
      <c r="D82" s="107"/>
      <c r="G82" s="107" t="s">
        <v>487</v>
      </c>
      <c r="H82" s="1">
        <v>10</v>
      </c>
      <c r="J82" s="107" t="s">
        <v>487</v>
      </c>
      <c r="K82" s="1">
        <v>10</v>
      </c>
      <c r="M82" s="107" t="s">
        <v>487</v>
      </c>
      <c r="N82" s="1">
        <v>10</v>
      </c>
      <c r="P82" s="107"/>
    </row>
    <row r="83" spans="4:13" ht="12.75">
      <c r="D83" s="37" t="s">
        <v>484</v>
      </c>
      <c r="E83" s="1">
        <v>10</v>
      </c>
      <c r="G83" s="37" t="s">
        <v>486</v>
      </c>
      <c r="H83" s="1">
        <v>10</v>
      </c>
      <c r="J83" s="37" t="s">
        <v>486</v>
      </c>
      <c r="K83" s="1">
        <v>10</v>
      </c>
      <c r="M83" s="37"/>
    </row>
    <row r="84" spans="5:17" ht="12.75">
      <c r="E84" s="37">
        <f>SUM(E82:E83)</f>
        <v>10</v>
      </c>
      <c r="H84" s="37">
        <f>SUM(H82:H83)</f>
        <v>20</v>
      </c>
      <c r="K84" s="37">
        <f>SUM(K81:K83)</f>
        <v>30</v>
      </c>
      <c r="N84" s="37">
        <f>SUM(N81:N83)</f>
        <v>10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82</v>
      </c>
      <c r="E87" s="154"/>
      <c r="G87" s="153" t="s">
        <v>82</v>
      </c>
      <c r="H87" s="153"/>
      <c r="J87" s="153" t="s">
        <v>82</v>
      </c>
      <c r="K87" s="153"/>
      <c r="M87" s="153" t="s">
        <v>82</v>
      </c>
      <c r="N87" s="153"/>
      <c r="P87" s="153"/>
      <c r="Q87" s="154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 t="s">
        <v>487</v>
      </c>
      <c r="K89" s="1">
        <v>0</v>
      </c>
      <c r="M89" s="107"/>
      <c r="P89" s="107"/>
    </row>
    <row r="90" spans="4:16" ht="12.75">
      <c r="D90" s="1" t="s">
        <v>477</v>
      </c>
      <c r="E90" s="1">
        <v>10</v>
      </c>
      <c r="J90" s="37" t="s">
        <v>254</v>
      </c>
      <c r="K90" s="1">
        <v>10</v>
      </c>
      <c r="M90" s="37"/>
      <c r="P90" s="37"/>
    </row>
    <row r="91" ht="12.75">
      <c r="P91" s="37"/>
    </row>
    <row r="93" spans="5:14" ht="12.75">
      <c r="E93" s="1">
        <f>SUM(E89:E92)</f>
        <v>10</v>
      </c>
      <c r="K93" s="1">
        <f>SUM(K89:K92)</f>
        <v>10</v>
      </c>
      <c r="N93" s="1">
        <f>SUM(N89:N92)</f>
        <v>0</v>
      </c>
    </row>
    <row r="95" spans="4:18" ht="12.75" customHeight="1">
      <c r="D95" s="152" t="s">
        <v>336</v>
      </c>
      <c r="E95" s="152"/>
      <c r="F95" s="152"/>
      <c r="G95" s="152" t="s">
        <v>336</v>
      </c>
      <c r="H95" s="152"/>
      <c r="I95" s="152"/>
      <c r="J95" s="152" t="s">
        <v>336</v>
      </c>
      <c r="K95" s="152"/>
      <c r="L95" s="152"/>
      <c r="M95" s="152" t="s">
        <v>336</v>
      </c>
      <c r="N95" s="152"/>
      <c r="O95" s="152"/>
      <c r="P95" s="152"/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6" t="s">
        <v>261</v>
      </c>
      <c r="E102" s="154"/>
      <c r="F102" s="154"/>
      <c r="G102" s="156" t="s">
        <v>261</v>
      </c>
      <c r="H102" s="156"/>
      <c r="I102" s="156"/>
      <c r="J102" s="156" t="s">
        <v>261</v>
      </c>
      <c r="K102" s="156"/>
      <c r="L102" s="156"/>
      <c r="M102" s="156" t="s">
        <v>261</v>
      </c>
      <c r="N102" s="156"/>
      <c r="O102" s="156"/>
      <c r="P102" s="156"/>
      <c r="Q102" s="154"/>
      <c r="R102" s="154"/>
    </row>
    <row r="103" spans="4:18" ht="12.75">
      <c r="D103" s="154"/>
      <c r="E103" s="154"/>
      <c r="F103" s="154"/>
      <c r="G103" s="156"/>
      <c r="H103" s="156"/>
      <c r="I103" s="156"/>
      <c r="J103" s="156"/>
      <c r="K103" s="156"/>
      <c r="L103" s="156"/>
      <c r="M103" s="156"/>
      <c r="N103" s="156"/>
      <c r="O103" s="156"/>
      <c r="P103" s="154"/>
      <c r="Q103" s="154"/>
      <c r="R103" s="154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M29" sqref="M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40026</v>
      </c>
      <c r="E1" s="158"/>
      <c r="F1" s="159"/>
      <c r="G1" s="18"/>
      <c r="H1" s="32">
        <v>40033</v>
      </c>
      <c r="I1" s="19"/>
      <c r="J1" s="44"/>
      <c r="K1" s="32">
        <v>40040</v>
      </c>
      <c r="L1" s="45"/>
      <c r="M1" s="18"/>
      <c r="N1" s="32">
        <v>40047</v>
      </c>
      <c r="O1" s="19"/>
      <c r="P1" s="18"/>
      <c r="Q1" s="32">
        <v>40054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'2009年7月'!U3</f>
        <v>51.12839999999998</v>
      </c>
      <c r="D3" s="68">
        <v>1</v>
      </c>
      <c r="E3" s="69"/>
      <c r="F3" s="70">
        <f>-10*D3</f>
        <v>-10</v>
      </c>
      <c r="G3" s="68">
        <v>1</v>
      </c>
      <c r="H3" s="69"/>
      <c r="I3" s="70">
        <f>-7.3684*G3</f>
        <v>-7.3684</v>
      </c>
      <c r="J3" s="68"/>
      <c r="K3" s="69"/>
      <c r="L3" s="70"/>
      <c r="M3" s="68">
        <v>1</v>
      </c>
      <c r="N3" s="69"/>
      <c r="O3" s="70">
        <f>-8.2353*M3</f>
        <v>-8.2353</v>
      </c>
      <c r="P3" s="68">
        <v>1</v>
      </c>
      <c r="Q3" s="69"/>
      <c r="R3" s="70">
        <f>-7.5*P3</f>
        <v>-7.5</v>
      </c>
      <c r="S3" s="68"/>
      <c r="T3" s="72"/>
      <c r="U3" s="101">
        <f aca="true" t="shared" si="0" ref="U3:U34">C3+E3+F3+H3+I3+K3+L3+N3+O3+T3+Q3+R3</f>
        <v>18.024699999999974</v>
      </c>
    </row>
    <row r="4" spans="1:21" ht="12.75">
      <c r="A4" s="2">
        <v>2</v>
      </c>
      <c r="B4" s="100" t="s">
        <v>3</v>
      </c>
      <c r="C4" s="67">
        <f>'2009年7月'!U4</f>
        <v>58.006899999999995</v>
      </c>
      <c r="D4" s="68">
        <v>1</v>
      </c>
      <c r="E4" s="69"/>
      <c r="F4" s="70">
        <f aca="true" t="shared" si="1" ref="F4:F53">-10*D4</f>
        <v>-10</v>
      </c>
      <c r="G4" s="68">
        <v>1</v>
      </c>
      <c r="H4" s="69"/>
      <c r="I4" s="70">
        <f aca="true" t="shared" si="2" ref="I4:I53">-7.3684*G4</f>
        <v>-7.3684</v>
      </c>
      <c r="J4" s="68"/>
      <c r="K4" s="69"/>
      <c r="L4" s="70"/>
      <c r="M4" s="68"/>
      <c r="N4" s="69"/>
      <c r="O4" s="70">
        <f aca="true" t="shared" si="3" ref="O4:O53">-8.2353*M4</f>
        <v>0</v>
      </c>
      <c r="P4" s="68">
        <v>1</v>
      </c>
      <c r="Q4" s="69"/>
      <c r="R4" s="70">
        <f aca="true" t="shared" si="4" ref="R4:R53">-7.5*P4</f>
        <v>-7.5</v>
      </c>
      <c r="S4" s="73"/>
      <c r="T4" s="72"/>
      <c r="U4" s="101">
        <f t="shared" si="0"/>
        <v>33.13849999999999</v>
      </c>
    </row>
    <row r="5" spans="1:21" ht="12.75">
      <c r="A5" s="2">
        <v>3</v>
      </c>
      <c r="B5" s="102" t="s">
        <v>406</v>
      </c>
      <c r="C5" s="67">
        <f>'2009年7月'!U5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/>
      <c r="N5" s="69"/>
      <c r="O5" s="70">
        <f t="shared" si="3"/>
        <v>0</v>
      </c>
      <c r="P5" s="68"/>
      <c r="Q5" s="69"/>
      <c r="R5" s="70">
        <f t="shared" si="4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407</v>
      </c>
      <c r="C6" s="74">
        <f>'2009年7月'!U6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408</v>
      </c>
      <c r="C7" s="74">
        <f>'2009年7月'!U7</f>
        <v>63.58700000000001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-7.3684</v>
      </c>
      <c r="J7" s="75"/>
      <c r="K7" s="76"/>
      <c r="L7" s="77"/>
      <c r="M7" s="75">
        <v>1</v>
      </c>
      <c r="N7" s="76"/>
      <c r="O7" s="77">
        <f t="shared" si="3"/>
        <v>-8.2353</v>
      </c>
      <c r="P7" s="75">
        <v>1</v>
      </c>
      <c r="Q7" s="76"/>
      <c r="R7" s="77">
        <f t="shared" si="4"/>
        <v>-7.5</v>
      </c>
      <c r="S7" s="75"/>
      <c r="T7" s="79"/>
      <c r="U7" s="101">
        <f t="shared" si="0"/>
        <v>40.48330000000001</v>
      </c>
    </row>
    <row r="8" spans="1:21" ht="12.75">
      <c r="A8" s="2">
        <v>6</v>
      </c>
      <c r="B8" s="103" t="s">
        <v>409</v>
      </c>
      <c r="C8" s="74">
        <f>'2009年7月'!U8</f>
        <v>76.28830000000002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410</v>
      </c>
      <c r="C9" s="88">
        <f>'2009年7月'!U9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'2009年7月'!U10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'2009年7月'!U11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'2009年7月'!U12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'2009年7月'!U13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'2009年7月'!U14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416</v>
      </c>
      <c r="C15" s="60">
        <f>'2009年7月'!U15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'2009年7月'!U16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/>
      <c r="N16" s="62"/>
      <c r="O16" s="63">
        <f t="shared" si="3"/>
        <v>0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'2009年7月'!U17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'2009年7月'!U18</f>
        <v>75.96089999999998</v>
      </c>
      <c r="D18" s="68">
        <v>1</v>
      </c>
      <c r="E18" s="69"/>
      <c r="F18" s="70">
        <f t="shared" si="1"/>
        <v>-10</v>
      </c>
      <c r="G18" s="68">
        <v>1</v>
      </c>
      <c r="H18" s="69"/>
      <c r="I18" s="70">
        <f t="shared" si="2"/>
        <v>-7.3684</v>
      </c>
      <c r="J18" s="68"/>
      <c r="K18" s="69"/>
      <c r="L18" s="70"/>
      <c r="M18" s="68"/>
      <c r="N18" s="69"/>
      <c r="O18" s="70">
        <f t="shared" si="3"/>
        <v>0</v>
      </c>
      <c r="P18" s="68"/>
      <c r="Q18" s="69"/>
      <c r="R18" s="70">
        <f t="shared" si="4"/>
        <v>0</v>
      </c>
      <c r="S18" s="68"/>
      <c r="T18" s="72"/>
      <c r="U18" s="101">
        <f t="shared" si="0"/>
        <v>58.59249999999998</v>
      </c>
    </row>
    <row r="19" spans="1:23" ht="12.75">
      <c r="A19" s="2">
        <v>17</v>
      </c>
      <c r="B19" s="102" t="s">
        <v>420</v>
      </c>
      <c r="C19" s="67">
        <f>'2009年7月'!U19</f>
        <v>27.552700000000023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-14.7368</v>
      </c>
      <c r="J19" s="68"/>
      <c r="K19" s="69"/>
      <c r="L19" s="70"/>
      <c r="M19" s="68"/>
      <c r="N19" s="69"/>
      <c r="O19" s="70">
        <f t="shared" si="3"/>
        <v>0</v>
      </c>
      <c r="P19" s="68"/>
      <c r="Q19" s="69"/>
      <c r="R19" s="70">
        <f t="shared" si="4"/>
        <v>0</v>
      </c>
      <c r="S19" s="73"/>
      <c r="T19" s="72"/>
      <c r="U19" s="101">
        <f t="shared" si="0"/>
        <v>12.815900000000022</v>
      </c>
      <c r="W19" s="37"/>
    </row>
    <row r="20" spans="1:21" ht="12.75">
      <c r="A20" s="2">
        <v>18</v>
      </c>
      <c r="B20" s="102" t="s">
        <v>421</v>
      </c>
      <c r="C20" s="67">
        <f>'2009年7月'!U20</f>
        <v>63.6894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422</v>
      </c>
      <c r="C21" s="74">
        <f>'2009年7月'!U21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'2009年7月'!U22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'2009年7月'!U23</f>
        <v>16.633799999999997</v>
      </c>
      <c r="D23" s="75"/>
      <c r="E23" s="76"/>
      <c r="F23" s="77">
        <f t="shared" si="1"/>
        <v>0</v>
      </c>
      <c r="G23" s="75">
        <v>2</v>
      </c>
      <c r="H23" s="76">
        <v>100</v>
      </c>
      <c r="I23" s="77">
        <f t="shared" si="2"/>
        <v>-14.7368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-7.5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425</v>
      </c>
      <c r="C24" s="88">
        <f>'2009年7月'!U24</f>
        <v>66.4806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/>
      <c r="M24" s="89"/>
      <c r="N24" s="90"/>
      <c r="O24" s="91">
        <f t="shared" si="3"/>
        <v>0</v>
      </c>
      <c r="P24" s="89"/>
      <c r="Q24" s="90"/>
      <c r="R24" s="91">
        <f t="shared" si="4"/>
        <v>0</v>
      </c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426</v>
      </c>
      <c r="C25" s="88">
        <f>'2009年7月'!U25</f>
        <v>-18.123500000000014</v>
      </c>
      <c r="D25" s="89"/>
      <c r="E25" s="90"/>
      <c r="F25" s="91">
        <f t="shared" si="1"/>
        <v>0</v>
      </c>
      <c r="G25" s="89">
        <v>1</v>
      </c>
      <c r="H25" s="90">
        <v>100</v>
      </c>
      <c r="I25" s="91">
        <f t="shared" si="2"/>
        <v>-7.3684</v>
      </c>
      <c r="J25" s="89"/>
      <c r="K25" s="90"/>
      <c r="L25" s="91"/>
      <c r="M25" s="89">
        <v>1</v>
      </c>
      <c r="N25" s="90"/>
      <c r="O25" s="91">
        <f t="shared" si="3"/>
        <v>-8.2353</v>
      </c>
      <c r="P25" s="89">
        <v>1</v>
      </c>
      <c r="Q25" s="90"/>
      <c r="R25" s="91">
        <f t="shared" si="4"/>
        <v>-7.5</v>
      </c>
      <c r="S25" s="89"/>
      <c r="T25" s="93"/>
      <c r="U25" s="101">
        <f t="shared" si="0"/>
        <v>58.772800000000004</v>
      </c>
    </row>
    <row r="26" spans="1:21" ht="12.75">
      <c r="A26" s="2">
        <v>24</v>
      </c>
      <c r="B26" s="106" t="s">
        <v>427</v>
      </c>
      <c r="C26" s="88">
        <f>'2009年7月'!U26</f>
        <v>91.3924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/>
      <c r="K26" s="90"/>
      <c r="L26" s="91"/>
      <c r="M26" s="89">
        <v>1</v>
      </c>
      <c r="N26" s="90"/>
      <c r="O26" s="91">
        <f t="shared" si="3"/>
        <v>-8.2353</v>
      </c>
      <c r="P26" s="89">
        <v>1</v>
      </c>
      <c r="Q26" s="90"/>
      <c r="R26" s="91">
        <f t="shared" si="4"/>
        <v>-7.5</v>
      </c>
      <c r="S26" s="94"/>
      <c r="T26" s="93"/>
      <c r="U26" s="101">
        <f t="shared" si="0"/>
        <v>75.6571</v>
      </c>
    </row>
    <row r="27" spans="1:21" ht="12.75">
      <c r="A27" s="2">
        <v>25</v>
      </c>
      <c r="B27" s="104" t="s">
        <v>428</v>
      </c>
      <c r="C27" s="81">
        <f>'2009年7月'!U27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'2009年7月'!U28</f>
        <v>3.876499999999993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-7.3684</v>
      </c>
      <c r="J28" s="86"/>
      <c r="K28" s="98"/>
      <c r="L28" s="84"/>
      <c r="M28" s="86">
        <v>1</v>
      </c>
      <c r="N28" s="98"/>
      <c r="O28" s="84">
        <f t="shared" si="3"/>
        <v>-8.2353</v>
      </c>
      <c r="P28" s="86">
        <v>1</v>
      </c>
      <c r="Q28" s="98"/>
      <c r="R28" s="84">
        <f t="shared" si="4"/>
        <v>-7.5</v>
      </c>
      <c r="S28" s="86"/>
      <c r="T28" s="87"/>
      <c r="U28" s="101">
        <f t="shared" si="0"/>
        <v>-19.227200000000007</v>
      </c>
    </row>
    <row r="29" spans="1:21" ht="12.75">
      <c r="A29" s="2">
        <v>27</v>
      </c>
      <c r="B29" s="104" t="s">
        <v>430</v>
      </c>
      <c r="C29" s="81">
        <f>'2009年7月'!U29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'2009年7月'!U30</f>
        <v>86.92399999999999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-7.3684</v>
      </c>
      <c r="J30" s="66"/>
      <c r="K30" s="99"/>
      <c r="L30" s="63"/>
      <c r="M30" s="66"/>
      <c r="N30" s="99"/>
      <c r="O30" s="63">
        <f t="shared" si="3"/>
        <v>0</v>
      </c>
      <c r="P30" s="66"/>
      <c r="Q30" s="99"/>
      <c r="R30" s="63">
        <f t="shared" si="4"/>
        <v>0</v>
      </c>
      <c r="S30" s="66"/>
      <c r="T30" s="65"/>
      <c r="U30" s="101">
        <f t="shared" si="0"/>
        <v>79.5556</v>
      </c>
      <c r="V30" s="37"/>
    </row>
    <row r="31" spans="1:21" ht="12.75">
      <c r="A31" s="2">
        <v>29</v>
      </c>
      <c r="B31" s="105" t="s">
        <v>432</v>
      </c>
      <c r="C31" s="60">
        <f>'2009年7月'!U31</f>
        <v>-25.575799999999997</v>
      </c>
      <c r="D31" s="61">
        <v>1</v>
      </c>
      <c r="E31" s="99">
        <v>100</v>
      </c>
      <c r="F31" s="63">
        <f t="shared" si="1"/>
        <v>-10</v>
      </c>
      <c r="G31" s="61">
        <v>1</v>
      </c>
      <c r="H31" s="99"/>
      <c r="I31" s="63">
        <f t="shared" si="2"/>
        <v>-7.3684</v>
      </c>
      <c r="J31" s="61"/>
      <c r="K31" s="99"/>
      <c r="L31" s="63"/>
      <c r="M31" s="61">
        <v>1</v>
      </c>
      <c r="N31" s="99"/>
      <c r="O31" s="63">
        <f t="shared" si="3"/>
        <v>-8.2353</v>
      </c>
      <c r="P31" s="61">
        <v>1</v>
      </c>
      <c r="Q31" s="99"/>
      <c r="R31" s="63">
        <f t="shared" si="4"/>
        <v>-7.5</v>
      </c>
      <c r="S31" s="61"/>
      <c r="T31" s="65"/>
      <c r="U31" s="101">
        <f t="shared" si="0"/>
        <v>41.320499999999996</v>
      </c>
    </row>
    <row r="32" spans="1:21" ht="12.75">
      <c r="A32" s="2">
        <v>30</v>
      </c>
      <c r="B32" s="105" t="s">
        <v>433</v>
      </c>
      <c r="C32" s="60">
        <f>'2009年7月'!U32</f>
        <v>107.61569999999999</v>
      </c>
      <c r="D32" s="66">
        <v>1</v>
      </c>
      <c r="E32" s="99"/>
      <c r="F32" s="63">
        <f t="shared" si="1"/>
        <v>-10</v>
      </c>
      <c r="G32" s="66">
        <v>1</v>
      </c>
      <c r="H32" s="99"/>
      <c r="I32" s="63">
        <f t="shared" si="2"/>
        <v>-7.3684</v>
      </c>
      <c r="J32" s="66"/>
      <c r="K32" s="99"/>
      <c r="L32" s="63"/>
      <c r="M32" s="66">
        <v>1</v>
      </c>
      <c r="N32" s="99"/>
      <c r="O32" s="63">
        <f t="shared" si="3"/>
        <v>-8.2353</v>
      </c>
      <c r="P32" s="66">
        <v>1</v>
      </c>
      <c r="Q32" s="99"/>
      <c r="R32" s="63">
        <f t="shared" si="4"/>
        <v>-7.5</v>
      </c>
      <c r="S32" s="66"/>
      <c r="T32" s="65"/>
      <c r="U32" s="101">
        <f t="shared" si="0"/>
        <v>74.512</v>
      </c>
    </row>
    <row r="33" spans="1:21" ht="12.75">
      <c r="A33" s="2">
        <v>31</v>
      </c>
      <c r="B33" s="102" t="s">
        <v>434</v>
      </c>
      <c r="C33" s="67">
        <f>'2009年7月'!U33</f>
        <v>46.154700000000005</v>
      </c>
      <c r="D33" s="68"/>
      <c r="E33" s="69"/>
      <c r="F33" s="70">
        <f t="shared" si="1"/>
        <v>0</v>
      </c>
      <c r="G33" s="68">
        <v>1</v>
      </c>
      <c r="H33" s="69"/>
      <c r="I33" s="70">
        <f t="shared" si="2"/>
        <v>-7.3684</v>
      </c>
      <c r="J33" s="68"/>
      <c r="K33" s="69"/>
      <c r="L33" s="70"/>
      <c r="M33" s="68">
        <v>1</v>
      </c>
      <c r="N33" s="69"/>
      <c r="O33" s="70">
        <f t="shared" si="3"/>
        <v>-8.2353</v>
      </c>
      <c r="P33" s="68">
        <v>1</v>
      </c>
      <c r="Q33" s="69"/>
      <c r="R33" s="70">
        <f t="shared" si="4"/>
        <v>-7.5</v>
      </c>
      <c r="S33" s="68"/>
      <c r="T33" s="72"/>
      <c r="U33" s="101">
        <f t="shared" si="0"/>
        <v>23.051000000000002</v>
      </c>
    </row>
    <row r="34" spans="1:21" ht="12.75">
      <c r="A34" s="2">
        <v>32</v>
      </c>
      <c r="B34" s="102" t="s">
        <v>435</v>
      </c>
      <c r="C34" s="67">
        <f>'2009年7月'!U34</f>
        <v>8.76019999999997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-7.3684</v>
      </c>
      <c r="J34" s="68"/>
      <c r="K34" s="69"/>
      <c r="L34" s="70"/>
      <c r="M34" s="68">
        <v>1</v>
      </c>
      <c r="N34" s="69"/>
      <c r="O34" s="70">
        <f t="shared" si="3"/>
        <v>-8.2353</v>
      </c>
      <c r="P34" s="68">
        <v>1</v>
      </c>
      <c r="Q34" s="69"/>
      <c r="R34" s="70">
        <f t="shared" si="4"/>
        <v>-7.5</v>
      </c>
      <c r="S34" s="73"/>
      <c r="T34" s="72"/>
      <c r="U34" s="101">
        <f t="shared" si="0"/>
        <v>-14.34350000000003</v>
      </c>
    </row>
    <row r="35" spans="1:21" ht="12.75">
      <c r="A35" s="2">
        <v>33</v>
      </c>
      <c r="B35" s="102" t="s">
        <v>436</v>
      </c>
      <c r="C35" s="67">
        <f>'2009年7月'!U35</f>
        <v>64.42420000000001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/>
      <c r="K35" s="69"/>
      <c r="L35" s="70"/>
      <c r="M35" s="68"/>
      <c r="N35" s="69"/>
      <c r="O35" s="70">
        <f t="shared" si="3"/>
        <v>0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437</v>
      </c>
      <c r="C36" s="74">
        <f>'2009年7月'!U36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438</v>
      </c>
      <c r="C37" s="74">
        <f>'2009年7月'!U37</f>
        <v>213.9452</v>
      </c>
      <c r="D37" s="75">
        <v>1</v>
      </c>
      <c r="E37" s="76"/>
      <c r="F37" s="77">
        <f t="shared" si="1"/>
        <v>-10</v>
      </c>
      <c r="G37" s="75">
        <v>1</v>
      </c>
      <c r="H37" s="76"/>
      <c r="I37" s="77">
        <f t="shared" si="2"/>
        <v>-7.3684</v>
      </c>
      <c r="J37" s="75"/>
      <c r="K37" s="76"/>
      <c r="L37" s="77"/>
      <c r="M37" s="75">
        <v>1</v>
      </c>
      <c r="N37" s="76"/>
      <c r="O37" s="77">
        <f t="shared" si="3"/>
        <v>-8.2353</v>
      </c>
      <c r="P37" s="75">
        <v>1</v>
      </c>
      <c r="Q37" s="76"/>
      <c r="R37" s="77">
        <f t="shared" si="4"/>
        <v>-7.5</v>
      </c>
      <c r="S37" s="75"/>
      <c r="T37" s="79"/>
      <c r="U37" s="101">
        <f t="shared" si="5"/>
        <v>180.8415</v>
      </c>
      <c r="V37" s="37"/>
    </row>
    <row r="38" spans="1:21" ht="12.75">
      <c r="A38" s="2">
        <v>36</v>
      </c>
      <c r="B38" s="103" t="s">
        <v>439</v>
      </c>
      <c r="C38" s="74">
        <f>'2009年7月'!U38</f>
        <v>22.644700000000007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-7.3684</v>
      </c>
      <c r="J38" s="75"/>
      <c r="K38" s="76"/>
      <c r="L38" s="77"/>
      <c r="M38" s="75">
        <v>1</v>
      </c>
      <c r="N38" s="76"/>
      <c r="O38" s="77">
        <f t="shared" si="3"/>
        <v>-8.2353</v>
      </c>
      <c r="P38" s="75">
        <v>1</v>
      </c>
      <c r="Q38" s="76"/>
      <c r="R38" s="77">
        <f t="shared" si="4"/>
        <v>-7.5</v>
      </c>
      <c r="S38" s="80"/>
      <c r="T38" s="79"/>
      <c r="U38" s="101">
        <f t="shared" si="5"/>
        <v>-0.4589999999999943</v>
      </c>
    </row>
    <row r="39" spans="1:21" ht="12.75">
      <c r="A39" s="2">
        <v>37</v>
      </c>
      <c r="B39" s="106" t="s">
        <v>440</v>
      </c>
      <c r="C39" s="88">
        <f>'2009年7月'!U39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'2009年7月'!U40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'2009年7月'!U41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'2009年7月'!U42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'2009年7月'!U43</f>
        <v>-29.5183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-8.2353</v>
      </c>
      <c r="P43" s="86">
        <v>1</v>
      </c>
      <c r="Q43" s="98">
        <v>100</v>
      </c>
      <c r="R43" s="84">
        <f>-7.5*P43-10</f>
        <v>-17.5</v>
      </c>
      <c r="S43" s="86"/>
      <c r="T43" s="87"/>
      <c r="U43" s="101">
        <f t="shared" si="5"/>
        <v>44.7464</v>
      </c>
    </row>
    <row r="44" spans="1:21" ht="12.75">
      <c r="A44" s="2">
        <v>42</v>
      </c>
      <c r="B44" s="104" t="s">
        <v>445</v>
      </c>
      <c r="C44" s="81">
        <f>'2009年7月'!U44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'2009年7月'!U45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'2009年7月'!U46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447</v>
      </c>
      <c r="C47" s="60">
        <f>'2009年7月'!U47</f>
        <v>77.32549999999998</v>
      </c>
      <c r="D47" s="66"/>
      <c r="E47" s="99"/>
      <c r="F47" s="63">
        <f t="shared" si="1"/>
        <v>0</v>
      </c>
      <c r="G47" s="66">
        <v>2</v>
      </c>
      <c r="H47" s="99"/>
      <c r="I47" s="63">
        <f t="shared" si="2"/>
        <v>-14.7368</v>
      </c>
      <c r="J47" s="66"/>
      <c r="K47" s="99"/>
      <c r="L47" s="63"/>
      <c r="M47" s="66">
        <v>3</v>
      </c>
      <c r="N47" s="99"/>
      <c r="O47" s="63">
        <f t="shared" si="3"/>
        <v>-24.7059</v>
      </c>
      <c r="P47" s="66">
        <v>1</v>
      </c>
      <c r="Q47" s="99"/>
      <c r="R47" s="63">
        <f t="shared" si="4"/>
        <v>-7.5</v>
      </c>
      <c r="S47" s="66"/>
      <c r="T47" s="65"/>
      <c r="U47" s="101">
        <f t="shared" si="5"/>
        <v>30.382799999999975</v>
      </c>
    </row>
    <row r="48" spans="1:21" ht="12.75">
      <c r="A48" s="2">
        <v>46</v>
      </c>
      <c r="B48" s="102" t="s">
        <v>448</v>
      </c>
      <c r="C48" s="67">
        <f>'2009年7月'!U48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/>
      <c r="Q48" s="69"/>
      <c r="R48" s="70">
        <f t="shared" si="4"/>
        <v>0</v>
      </c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449</v>
      </c>
      <c r="C49" s="67">
        <f>'2009年7月'!U49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/>
      <c r="M49" s="68"/>
      <c r="N49" s="69"/>
      <c r="O49" s="70">
        <f t="shared" si="3"/>
        <v>0</v>
      </c>
      <c r="P49" s="68"/>
      <c r="Q49" s="69"/>
      <c r="R49" s="70">
        <f t="shared" si="4"/>
        <v>0</v>
      </c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450</v>
      </c>
      <c r="C50" s="67">
        <f>'2009年7月'!U50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'2009年7月'!U51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>
        <v>1</v>
      </c>
      <c r="N51" s="96"/>
      <c r="O51" s="77">
        <f t="shared" si="3"/>
        <v>-8.2353</v>
      </c>
      <c r="P51" s="75"/>
      <c r="Q51" s="96"/>
      <c r="R51" s="77">
        <f t="shared" si="4"/>
        <v>0</v>
      </c>
      <c r="S51" s="80"/>
      <c r="T51" s="79"/>
      <c r="U51" s="101">
        <f t="shared" si="5"/>
        <v>0.5581000000000014</v>
      </c>
    </row>
    <row r="52" spans="1:21" ht="12.75">
      <c r="A52" s="2">
        <v>50</v>
      </c>
      <c r="B52" s="103" t="s">
        <v>452</v>
      </c>
      <c r="C52" s="74">
        <f>'2009年7月'!U52</f>
        <v>-5.865699999999998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>
        <v>1</v>
      </c>
      <c r="N52" s="96"/>
      <c r="O52" s="77">
        <f t="shared" si="3"/>
        <v>-8.2353</v>
      </c>
      <c r="P52" s="80">
        <v>1</v>
      </c>
      <c r="Q52" s="96"/>
      <c r="R52" s="77">
        <f t="shared" si="4"/>
        <v>-7.5</v>
      </c>
      <c r="S52" s="75"/>
      <c r="T52" s="79"/>
      <c r="U52" s="101">
        <f t="shared" si="5"/>
        <v>-21.601</v>
      </c>
    </row>
    <row r="53" spans="1:21" ht="12.75">
      <c r="A53" s="2">
        <v>51</v>
      </c>
      <c r="B53" s="116">
        <v>2007</v>
      </c>
      <c r="C53" s="74">
        <f>'2009年7月'!U53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/>
      <c r="M53" s="75"/>
      <c r="N53" s="96"/>
      <c r="O53" s="77">
        <f t="shared" si="3"/>
        <v>0</v>
      </c>
      <c r="P53" s="75"/>
      <c r="Q53" s="96"/>
      <c r="R53" s="77">
        <f t="shared" si="4"/>
        <v>0</v>
      </c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6</v>
      </c>
      <c r="F55" s="1">
        <f>E66/D55</f>
        <v>10</v>
      </c>
      <c r="G55" s="1">
        <f>SUM(G3:G53)</f>
        <v>19</v>
      </c>
      <c r="I55" s="1">
        <f>H66/G55</f>
        <v>7.368421052631579</v>
      </c>
      <c r="M55" s="1">
        <f>SUM(M3:M53)</f>
        <v>17</v>
      </c>
      <c r="O55" s="1">
        <f>N66/M55</f>
        <v>8.235294117647058</v>
      </c>
      <c r="P55" s="1">
        <f>SUM(P3:P53)</f>
        <v>16</v>
      </c>
      <c r="R55" s="1">
        <f>Q66/P55</f>
        <v>7.5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/>
      <c r="L56" s="48"/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-60</v>
      </c>
      <c r="H57" s="37" t="s">
        <v>455</v>
      </c>
      <c r="I57" s="1">
        <f>SUM(I3:I53)</f>
        <v>-139.99959999999996</v>
      </c>
      <c r="K57" s="37"/>
      <c r="N57" s="37" t="s">
        <v>455</v>
      </c>
      <c r="O57" s="1">
        <f>SUM(O3:O53)</f>
        <v>-140.00009999999997</v>
      </c>
      <c r="Q57" s="37" t="s">
        <v>455</v>
      </c>
      <c r="R57" s="1">
        <f>SUM(R3:R53)</f>
        <v>-130</v>
      </c>
      <c r="U57" s="24"/>
    </row>
    <row r="58" spans="2:21" ht="12.75">
      <c r="B58" s="41" t="s">
        <v>456</v>
      </c>
      <c r="C58" s="36">
        <f>SUM(C3:C53)</f>
        <v>2370.0017000000007</v>
      </c>
      <c r="E58" s="41"/>
      <c r="H58" s="41"/>
      <c r="K58" s="41"/>
      <c r="N58" s="41"/>
      <c r="Q58" s="41"/>
      <c r="U58" s="24"/>
    </row>
    <row r="59" spans="19:21" ht="12.75">
      <c r="S59" s="151" t="s">
        <v>8</v>
      </c>
      <c r="T59" s="151"/>
      <c r="U59" s="56">
        <f>SUM(U3:U53)</f>
        <v>2300.002</v>
      </c>
    </row>
    <row r="60" spans="4:18" ht="12.75" customHeight="1">
      <c r="D60" s="155" t="s">
        <v>495</v>
      </c>
      <c r="E60" s="161"/>
      <c r="F60" s="162"/>
      <c r="G60" s="155" t="s">
        <v>497</v>
      </c>
      <c r="H60" s="161"/>
      <c r="I60" s="162"/>
      <c r="J60" s="168" t="s">
        <v>500</v>
      </c>
      <c r="K60" s="161"/>
      <c r="L60" s="162"/>
      <c r="M60" s="155" t="s">
        <v>501</v>
      </c>
      <c r="N60" s="161"/>
      <c r="O60" s="162"/>
      <c r="P60" s="155" t="s">
        <v>503</v>
      </c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60</v>
      </c>
      <c r="F66" s="51"/>
      <c r="G66" s="52" t="s">
        <v>457</v>
      </c>
      <c r="H66" s="50">
        <f>H68-H84-H93</f>
        <v>140</v>
      </c>
      <c r="I66" s="51"/>
      <c r="J66" s="52"/>
      <c r="K66" s="50"/>
      <c r="L66" s="51"/>
      <c r="M66" s="52" t="s">
        <v>457</v>
      </c>
      <c r="N66" s="50">
        <f>N68-N84-N93</f>
        <v>140</v>
      </c>
      <c r="O66" s="51"/>
      <c r="P66" s="52" t="s">
        <v>457</v>
      </c>
      <c r="Q66" s="50">
        <f>Q68-Q84-Q93</f>
        <v>120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v>60</v>
      </c>
      <c r="F68" s="55"/>
      <c r="G68" s="110" t="s">
        <v>458</v>
      </c>
      <c r="H68" s="54">
        <v>150</v>
      </c>
      <c r="I68" s="55"/>
      <c r="J68" s="110"/>
      <c r="K68" s="54"/>
      <c r="L68" s="55"/>
      <c r="M68" s="110" t="s">
        <v>458</v>
      </c>
      <c r="N68" s="54">
        <v>150</v>
      </c>
      <c r="O68" s="55"/>
      <c r="P68" s="110" t="s">
        <v>458</v>
      </c>
      <c r="Q68" s="54"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9"/>
      <c r="E74" s="150"/>
      <c r="F74" s="150"/>
      <c r="G74" s="149" t="s">
        <v>498</v>
      </c>
      <c r="H74" s="149"/>
      <c r="I74" s="149"/>
      <c r="J74" s="149"/>
      <c r="K74" s="149"/>
      <c r="L74" s="149"/>
      <c r="M74" s="149" t="s">
        <v>498</v>
      </c>
      <c r="N74" s="149"/>
      <c r="O74" s="149"/>
      <c r="P74" s="149" t="s">
        <v>498</v>
      </c>
      <c r="Q74" s="149"/>
      <c r="R74" s="149"/>
    </row>
    <row r="75" spans="4:18" ht="12.75">
      <c r="D75" s="150"/>
      <c r="E75" s="150"/>
      <c r="F75" s="150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13.5" customHeight="1">
      <c r="D76" s="150"/>
      <c r="E76" s="150"/>
      <c r="F76" s="150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4:18" ht="12.75" customHeight="1">
      <c r="D77" s="149"/>
      <c r="E77" s="150"/>
      <c r="F77" s="150"/>
      <c r="G77" s="149" t="s">
        <v>499</v>
      </c>
      <c r="H77" s="149"/>
      <c r="I77" s="149"/>
      <c r="J77" s="149"/>
      <c r="K77" s="149"/>
      <c r="L77" s="149"/>
      <c r="M77" s="149" t="s">
        <v>502</v>
      </c>
      <c r="N77" s="149"/>
      <c r="O77" s="149"/>
      <c r="P77" s="149" t="s">
        <v>504</v>
      </c>
      <c r="Q77" s="149"/>
      <c r="R77" s="149"/>
    </row>
    <row r="78" spans="4:18" ht="12.75">
      <c r="D78" s="150"/>
      <c r="E78" s="150"/>
      <c r="F78" s="150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4:18" ht="14.25" customHeight="1">
      <c r="D79" s="150"/>
      <c r="E79" s="150"/>
      <c r="F79" s="150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4:17" ht="12.75">
      <c r="D80" s="153" t="s">
        <v>459</v>
      </c>
      <c r="E80" s="154"/>
      <c r="G80" s="153" t="s">
        <v>459</v>
      </c>
      <c r="H80" s="154"/>
      <c r="J80" s="153"/>
      <c r="K80" s="153"/>
      <c r="M80" s="153" t="s">
        <v>459</v>
      </c>
      <c r="N80" s="154"/>
      <c r="P80" s="153" t="s">
        <v>459</v>
      </c>
      <c r="Q80" s="154"/>
    </row>
    <row r="81" spans="4:16" ht="12.75" customHeight="1">
      <c r="D81" s="37"/>
      <c r="G81" s="37"/>
      <c r="J81" s="37"/>
      <c r="M81" s="37"/>
      <c r="P81" s="37"/>
    </row>
    <row r="82" spans="4:17" ht="12.75" customHeight="1">
      <c r="D82" s="107"/>
      <c r="G82" s="107"/>
      <c r="J82" s="107"/>
      <c r="M82" s="107"/>
      <c r="P82" s="37" t="s">
        <v>496</v>
      </c>
      <c r="Q82" s="1">
        <v>10</v>
      </c>
    </row>
    <row r="83" spans="4:17" ht="12.75">
      <c r="D83" s="37"/>
      <c r="G83" s="37" t="s">
        <v>496</v>
      </c>
      <c r="H83" s="1">
        <v>10</v>
      </c>
      <c r="J83" s="37"/>
      <c r="M83" s="37" t="s">
        <v>486</v>
      </c>
      <c r="N83" s="1">
        <v>10</v>
      </c>
      <c r="P83" s="37" t="s">
        <v>486</v>
      </c>
      <c r="Q83" s="1">
        <v>10</v>
      </c>
    </row>
    <row r="84" spans="5:17" ht="12.75">
      <c r="E84" s="37">
        <f>SUM(E82:E83)</f>
        <v>0</v>
      </c>
      <c r="H84" s="37">
        <f>SUM(H82:H83)</f>
        <v>10</v>
      </c>
      <c r="K84" s="37"/>
      <c r="N84" s="37">
        <f>SUM(N82:N83)</f>
        <v>10</v>
      </c>
      <c r="P84" s="37"/>
      <c r="Q84" s="37">
        <f>SUM(Q82:Q83)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461</v>
      </c>
      <c r="E87" s="154"/>
      <c r="G87" s="153" t="s">
        <v>461</v>
      </c>
      <c r="H87" s="154"/>
      <c r="J87" s="153"/>
      <c r="K87" s="153"/>
      <c r="M87" s="153" t="s">
        <v>461</v>
      </c>
      <c r="N87" s="154"/>
      <c r="P87" s="153" t="s">
        <v>461</v>
      </c>
      <c r="Q87" s="154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M89" s="107"/>
      <c r="N89" s="1">
        <v>0</v>
      </c>
      <c r="P89" s="107" t="s">
        <v>505</v>
      </c>
      <c r="Q89" s="1">
        <v>10</v>
      </c>
    </row>
    <row r="90" ht="12.75">
      <c r="J90" s="37"/>
    </row>
    <row r="93" spans="5:17" ht="12.75">
      <c r="E93" s="1">
        <f>SUM(E89:E92)</f>
        <v>0</v>
      </c>
      <c r="H93" s="1">
        <f>SUM(H89:H92)</f>
        <v>0</v>
      </c>
      <c r="N93" s="1">
        <f>SUM(N89:N92)</f>
        <v>0</v>
      </c>
      <c r="Q93" s="1">
        <f>SUM(Q89:Q92)</f>
        <v>10</v>
      </c>
    </row>
    <row r="95" spans="4:18" ht="12.75" customHeight="1">
      <c r="D95" s="152" t="s">
        <v>463</v>
      </c>
      <c r="E95" s="152"/>
      <c r="F95" s="152"/>
      <c r="G95" s="152" t="s">
        <v>463</v>
      </c>
      <c r="H95" s="152"/>
      <c r="I95" s="152"/>
      <c r="J95" s="152"/>
      <c r="K95" s="152"/>
      <c r="L95" s="152"/>
      <c r="M95" s="152" t="s">
        <v>463</v>
      </c>
      <c r="N95" s="152"/>
      <c r="O95" s="152"/>
      <c r="P95" s="152" t="s">
        <v>463</v>
      </c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 t="s">
        <v>272</v>
      </c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6" t="s">
        <v>457</v>
      </c>
      <c r="E102" s="154"/>
      <c r="F102" s="154"/>
      <c r="G102" s="156" t="s">
        <v>457</v>
      </c>
      <c r="H102" s="154"/>
      <c r="I102" s="154"/>
      <c r="J102" s="156"/>
      <c r="K102" s="156"/>
      <c r="L102" s="156"/>
      <c r="M102" s="156" t="s">
        <v>457</v>
      </c>
      <c r="N102" s="154"/>
      <c r="O102" s="154"/>
      <c r="P102" s="156" t="s">
        <v>457</v>
      </c>
      <c r="Q102" s="154"/>
      <c r="R102" s="154"/>
    </row>
    <row r="103" spans="4:18" ht="12.75">
      <c r="D103" s="154"/>
      <c r="E103" s="154"/>
      <c r="F103" s="154"/>
      <c r="G103" s="154"/>
      <c r="H103" s="154"/>
      <c r="I103" s="154"/>
      <c r="J103" s="156"/>
      <c r="K103" s="156"/>
      <c r="L103" s="156"/>
      <c r="M103" s="154"/>
      <c r="N103" s="154"/>
      <c r="O103" s="154"/>
      <c r="P103" s="154"/>
      <c r="Q103" s="154"/>
      <c r="R103" s="154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U18" sqref="U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40061</v>
      </c>
      <c r="E1" s="158"/>
      <c r="F1" s="159"/>
      <c r="G1" s="18"/>
      <c r="H1" s="32">
        <v>40068</v>
      </c>
      <c r="I1" s="19"/>
      <c r="J1" s="44"/>
      <c r="K1" s="32">
        <v>40075</v>
      </c>
      <c r="L1" s="45"/>
      <c r="M1" s="18"/>
      <c r="N1" s="32">
        <v>40082</v>
      </c>
      <c r="O1" s="19"/>
      <c r="P1" s="18"/>
      <c r="Q1" s="32" t="s">
        <v>520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'2009年8月'!U3</f>
        <v>18.024699999999974</v>
      </c>
      <c r="D3" s="68">
        <v>1</v>
      </c>
      <c r="E3" s="69"/>
      <c r="F3" s="70">
        <f>-8.2353*D3</f>
        <v>-8.2353</v>
      </c>
      <c r="G3" s="68">
        <v>1</v>
      </c>
      <c r="H3" s="69"/>
      <c r="I3" s="70">
        <f>-5*G3</f>
        <v>-5</v>
      </c>
      <c r="J3" s="68">
        <v>1</v>
      </c>
      <c r="K3" s="69">
        <v>100</v>
      </c>
      <c r="L3" s="70">
        <f>-12.727*J3</f>
        <v>-12.727</v>
      </c>
      <c r="M3" s="68">
        <v>1</v>
      </c>
      <c r="N3" s="69">
        <v>-32.07</v>
      </c>
      <c r="O3" s="70">
        <f>-20*M3</f>
        <v>-20</v>
      </c>
      <c r="P3" s="68">
        <v>1</v>
      </c>
      <c r="Q3" s="69"/>
      <c r="R3" s="70">
        <f>-26*P3</f>
        <v>-26</v>
      </c>
      <c r="S3" s="68"/>
      <c r="T3" s="72"/>
      <c r="U3" s="101">
        <f aca="true" t="shared" si="0" ref="U3:U34">C3+E3+F3+H3+I3+K3+L3+N3+O3+T3+Q3+R3</f>
        <v>13.992399999999968</v>
      </c>
    </row>
    <row r="4" spans="1:21" ht="12.75">
      <c r="A4" s="2">
        <v>2</v>
      </c>
      <c r="B4" s="100" t="s">
        <v>3</v>
      </c>
      <c r="C4" s="67">
        <f>'2009年8月'!U4</f>
        <v>33.13849999999999</v>
      </c>
      <c r="D4" s="68">
        <v>1</v>
      </c>
      <c r="E4" s="69"/>
      <c r="F4" s="70">
        <f aca="true" t="shared" si="1" ref="F4:F53">-8.2353*D4</f>
        <v>-8.2353</v>
      </c>
      <c r="G4" s="68">
        <v>1</v>
      </c>
      <c r="H4" s="69"/>
      <c r="I4" s="70">
        <f aca="true" t="shared" si="2" ref="I4:I53">-5*G4</f>
        <v>-5</v>
      </c>
      <c r="J4" s="68"/>
      <c r="K4" s="69"/>
      <c r="L4" s="70">
        <f aca="true" t="shared" si="3" ref="L4:L53">-12.727*J4</f>
        <v>0</v>
      </c>
      <c r="M4" s="68"/>
      <c r="N4" s="69"/>
      <c r="O4" s="70">
        <f aca="true" t="shared" si="4" ref="O4:O53">-20*M4</f>
        <v>0</v>
      </c>
      <c r="P4" s="68">
        <v>1</v>
      </c>
      <c r="Q4" s="69"/>
      <c r="R4" s="70">
        <f aca="true" t="shared" si="5" ref="R4:R53">-26*P4</f>
        <v>-26</v>
      </c>
      <c r="S4" s="73"/>
      <c r="T4" s="72"/>
      <c r="U4" s="101">
        <f t="shared" si="0"/>
        <v>-6.096800000000009</v>
      </c>
    </row>
    <row r="5" spans="1:21" ht="12.75">
      <c r="A5" s="2">
        <v>3</v>
      </c>
      <c r="B5" s="102" t="s">
        <v>191</v>
      </c>
      <c r="C5" s="67">
        <f>'2009年8月'!U5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'2009年8月'!U6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-20</v>
      </c>
      <c r="P6" s="80">
        <v>1</v>
      </c>
      <c r="Q6" s="76"/>
      <c r="R6" s="77">
        <f t="shared" si="5"/>
        <v>-26</v>
      </c>
      <c r="S6" s="80"/>
      <c r="T6" s="79"/>
      <c r="U6" s="101">
        <f t="shared" si="0"/>
        <v>-25.244699999999995</v>
      </c>
      <c r="W6" s="37"/>
    </row>
    <row r="7" spans="1:21" ht="12.75">
      <c r="A7" s="2">
        <v>5</v>
      </c>
      <c r="B7" s="103" t="s">
        <v>193</v>
      </c>
      <c r="C7" s="74">
        <f>'2009年8月'!U7</f>
        <v>40.48330000000001</v>
      </c>
      <c r="D7" s="75">
        <v>1</v>
      </c>
      <c r="E7" s="76"/>
      <c r="F7" s="77">
        <f t="shared" si="1"/>
        <v>-8.2353</v>
      </c>
      <c r="G7" s="75">
        <v>1</v>
      </c>
      <c r="H7" s="76"/>
      <c r="I7" s="77">
        <f t="shared" si="2"/>
        <v>-5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-20</v>
      </c>
      <c r="P7" s="75"/>
      <c r="Q7" s="76"/>
      <c r="R7" s="77">
        <f t="shared" si="5"/>
        <v>0</v>
      </c>
      <c r="S7" s="75"/>
      <c r="T7" s="79"/>
      <c r="U7" s="101">
        <f t="shared" si="0"/>
        <v>7.248000000000005</v>
      </c>
    </row>
    <row r="8" spans="1:21" ht="12.75">
      <c r="A8" s="2">
        <v>6</v>
      </c>
      <c r="B8" s="103" t="s">
        <v>194</v>
      </c>
      <c r="C8" s="74">
        <f>'2009年8月'!U8</f>
        <v>76.28830000000002</v>
      </c>
      <c r="D8" s="75"/>
      <c r="E8" s="76"/>
      <c r="F8" s="77">
        <f t="shared" si="1"/>
        <v>0</v>
      </c>
      <c r="G8" s="75">
        <v>1</v>
      </c>
      <c r="H8" s="76"/>
      <c r="I8" s="77">
        <f t="shared" si="2"/>
        <v>-5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'2009年8月'!U9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196</v>
      </c>
      <c r="C10" s="88">
        <f>'2009年8月'!U10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197</v>
      </c>
      <c r="C11" s="88">
        <f>'2009年8月'!U11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486</v>
      </c>
      <c r="C12" s="119">
        <v>0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>
        <f t="shared" si="5"/>
        <v>0</v>
      </c>
      <c r="S12" s="82"/>
      <c r="T12" s="87"/>
      <c r="U12" s="101">
        <f t="shared" si="0"/>
        <v>0</v>
      </c>
    </row>
    <row r="13" spans="1:21" ht="12.75">
      <c r="A13" s="2">
        <v>11</v>
      </c>
      <c r="B13" s="104" t="s">
        <v>199</v>
      </c>
      <c r="C13" s="81">
        <f>'2009年8月'!U13</f>
        <v>16.22</v>
      </c>
      <c r="D13" s="82">
        <v>1</v>
      </c>
      <c r="E13" s="83"/>
      <c r="F13" s="84">
        <f t="shared" si="1"/>
        <v>-8.2353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'2009年8月'!U14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'2009年8月'!U15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'2009年8月'!U16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'2009年8月'!U17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204</v>
      </c>
      <c r="C18" s="67">
        <f>'2009年8月'!U18</f>
        <v>58.59249999999998</v>
      </c>
      <c r="D18" s="68">
        <v>1</v>
      </c>
      <c r="E18" s="69"/>
      <c r="F18" s="70">
        <f t="shared" si="1"/>
        <v>-8.2353</v>
      </c>
      <c r="G18" s="68">
        <v>5</v>
      </c>
      <c r="H18" s="69"/>
      <c r="I18" s="70">
        <f t="shared" si="2"/>
        <v>-25</v>
      </c>
      <c r="J18" s="68">
        <v>1</v>
      </c>
      <c r="K18" s="69"/>
      <c r="L18" s="70">
        <f t="shared" si="3"/>
        <v>-12.727</v>
      </c>
      <c r="M18" s="68"/>
      <c r="N18" s="69"/>
      <c r="O18" s="70">
        <f t="shared" si="4"/>
        <v>0</v>
      </c>
      <c r="P18" s="68"/>
      <c r="Q18" s="69"/>
      <c r="R18" s="70">
        <f t="shared" si="5"/>
        <v>0</v>
      </c>
      <c r="S18" s="68"/>
      <c r="T18" s="72"/>
      <c r="U18" s="101">
        <f t="shared" si="0"/>
        <v>12.630199999999977</v>
      </c>
    </row>
    <row r="19" spans="1:23" ht="12.75">
      <c r="A19" s="2">
        <v>17</v>
      </c>
      <c r="B19" s="102" t="s">
        <v>205</v>
      </c>
      <c r="C19" s="67">
        <f>'2009年8月'!U19</f>
        <v>12.815900000000022</v>
      </c>
      <c r="D19" s="68">
        <v>1</v>
      </c>
      <c r="E19" s="69"/>
      <c r="F19" s="70">
        <f t="shared" si="1"/>
        <v>-8.2353</v>
      </c>
      <c r="G19" s="68">
        <v>2</v>
      </c>
      <c r="H19" s="69"/>
      <c r="I19" s="70">
        <f t="shared" si="2"/>
        <v>-10</v>
      </c>
      <c r="J19" s="68"/>
      <c r="K19" s="69"/>
      <c r="L19" s="70">
        <f t="shared" si="3"/>
        <v>0</v>
      </c>
      <c r="M19" s="68"/>
      <c r="N19" s="69"/>
      <c r="O19" s="70">
        <f t="shared" si="4"/>
        <v>0</v>
      </c>
      <c r="P19" s="68"/>
      <c r="Q19" s="69"/>
      <c r="R19" s="70">
        <f t="shared" si="5"/>
        <v>0</v>
      </c>
      <c r="S19" s="73"/>
      <c r="T19" s="72"/>
      <c r="U19" s="101">
        <f t="shared" si="0"/>
        <v>-5.419399999999978</v>
      </c>
      <c r="W19" s="37"/>
    </row>
    <row r="20" spans="1:21" ht="12.75">
      <c r="A20" s="2">
        <v>18</v>
      </c>
      <c r="B20" s="102" t="s">
        <v>206</v>
      </c>
      <c r="C20" s="67">
        <f>'2009年8月'!U20</f>
        <v>63.6894</v>
      </c>
      <c r="D20" s="68"/>
      <c r="E20" s="69"/>
      <c r="F20" s="70">
        <f t="shared" si="1"/>
        <v>0</v>
      </c>
      <c r="G20" s="68">
        <v>1</v>
      </c>
      <c r="H20" s="69"/>
      <c r="I20" s="70">
        <f>-5*G20-10</f>
        <v>-15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207</v>
      </c>
      <c r="C21" s="74">
        <f>'2009年8月'!U21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208</v>
      </c>
      <c r="C22" s="74">
        <f>'2009年8月'!U22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'2009年8月'!U23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'2009年8月'!U24</f>
        <v>66.4806</v>
      </c>
      <c r="D24" s="89">
        <v>1</v>
      </c>
      <c r="E24" s="90"/>
      <c r="F24" s="91">
        <f t="shared" si="1"/>
        <v>-8.2353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-12.727</v>
      </c>
      <c r="M24" s="89">
        <v>1</v>
      </c>
      <c r="N24" s="90"/>
      <c r="O24" s="91">
        <f t="shared" si="4"/>
        <v>-20</v>
      </c>
      <c r="P24" s="89">
        <v>1</v>
      </c>
      <c r="Q24" s="90"/>
      <c r="R24" s="91">
        <f t="shared" si="5"/>
        <v>-26</v>
      </c>
      <c r="S24" s="89"/>
      <c r="T24" s="93"/>
      <c r="U24" s="101">
        <f t="shared" si="0"/>
        <v>-0.48170000000000357</v>
      </c>
    </row>
    <row r="25" spans="1:21" ht="12.75">
      <c r="A25" s="2">
        <v>23</v>
      </c>
      <c r="B25" s="106" t="s">
        <v>211</v>
      </c>
      <c r="C25" s="88">
        <f>'2009年8月'!U25</f>
        <v>58.772800000000004</v>
      </c>
      <c r="D25" s="89">
        <v>1</v>
      </c>
      <c r="E25" s="90"/>
      <c r="F25" s="91">
        <f t="shared" si="1"/>
        <v>-8.2353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-12.727</v>
      </c>
      <c r="M25" s="89">
        <v>1</v>
      </c>
      <c r="N25" s="90"/>
      <c r="O25" s="91">
        <f t="shared" si="4"/>
        <v>-20</v>
      </c>
      <c r="P25" s="89">
        <v>1</v>
      </c>
      <c r="Q25" s="90"/>
      <c r="R25" s="91">
        <f t="shared" si="5"/>
        <v>-26</v>
      </c>
      <c r="S25" s="89"/>
      <c r="T25" s="93"/>
      <c r="U25" s="101">
        <f t="shared" si="0"/>
        <v>-13.189499999999995</v>
      </c>
    </row>
    <row r="26" spans="1:21" ht="12.75">
      <c r="A26" s="2">
        <v>24</v>
      </c>
      <c r="B26" s="106" t="s">
        <v>212</v>
      </c>
      <c r="C26" s="88">
        <f>'2009年8月'!U26</f>
        <v>75.6571</v>
      </c>
      <c r="D26" s="89">
        <v>1</v>
      </c>
      <c r="E26" s="90"/>
      <c r="F26" s="91">
        <f t="shared" si="1"/>
        <v>-8.2353</v>
      </c>
      <c r="G26" s="89">
        <v>1</v>
      </c>
      <c r="H26" s="90"/>
      <c r="I26" s="91">
        <f t="shared" si="2"/>
        <v>-5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89"/>
      <c r="Q26" s="90"/>
      <c r="R26" s="91">
        <f t="shared" si="5"/>
        <v>0</v>
      </c>
      <c r="S26" s="94"/>
      <c r="T26" s="93"/>
      <c r="U26" s="101">
        <f t="shared" si="0"/>
        <v>62.421800000000005</v>
      </c>
    </row>
    <row r="27" spans="1:21" ht="12.75">
      <c r="A27" s="2">
        <v>25</v>
      </c>
      <c r="B27" s="104" t="s">
        <v>213</v>
      </c>
      <c r="C27" s="81">
        <f>'2009年8月'!U27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214</v>
      </c>
      <c r="C28" s="81">
        <f>'2009年8月'!U28</f>
        <v>-19.227200000000007</v>
      </c>
      <c r="D28" s="86">
        <v>1</v>
      </c>
      <c r="E28" s="98"/>
      <c r="F28" s="84">
        <f t="shared" si="1"/>
        <v>-8.2353</v>
      </c>
      <c r="G28" s="86"/>
      <c r="H28" s="98"/>
      <c r="I28" s="84">
        <f t="shared" si="2"/>
        <v>0</v>
      </c>
      <c r="J28" s="86">
        <v>1</v>
      </c>
      <c r="K28" s="98">
        <v>50</v>
      </c>
      <c r="L28" s="84">
        <f t="shared" si="3"/>
        <v>-12.727</v>
      </c>
      <c r="M28" s="86"/>
      <c r="N28" s="98"/>
      <c r="O28" s="84">
        <f t="shared" si="4"/>
        <v>0</v>
      </c>
      <c r="P28" s="86"/>
      <c r="Q28" s="98"/>
      <c r="R28" s="84">
        <f t="shared" si="5"/>
        <v>0</v>
      </c>
      <c r="S28" s="86"/>
      <c r="T28" s="87"/>
      <c r="U28" s="101">
        <f t="shared" si="0"/>
        <v>9.810499999999994</v>
      </c>
    </row>
    <row r="29" spans="1:21" ht="12.75">
      <c r="A29" s="2">
        <v>27</v>
      </c>
      <c r="B29" s="104" t="s">
        <v>215</v>
      </c>
      <c r="C29" s="81">
        <f>'2009年8月'!U29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'2009年8月'!U30</f>
        <v>79.5556</v>
      </c>
      <c r="D30" s="66">
        <v>1</v>
      </c>
      <c r="E30" s="99"/>
      <c r="F30" s="63">
        <f t="shared" si="1"/>
        <v>-8.2353</v>
      </c>
      <c r="G30" s="66">
        <v>1</v>
      </c>
      <c r="H30" s="99"/>
      <c r="I30" s="63">
        <f t="shared" si="2"/>
        <v>-5</v>
      </c>
      <c r="J30" s="66"/>
      <c r="K30" s="99"/>
      <c r="L30" s="63">
        <f t="shared" si="3"/>
        <v>0</v>
      </c>
      <c r="M30" s="66">
        <v>1</v>
      </c>
      <c r="N30" s="99"/>
      <c r="O30" s="63">
        <f t="shared" si="4"/>
        <v>-20</v>
      </c>
      <c r="P30" s="66"/>
      <c r="Q30" s="9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'2009年8月'!U31</f>
        <v>41.320499999999996</v>
      </c>
      <c r="D31" s="61">
        <v>1</v>
      </c>
      <c r="E31" s="99"/>
      <c r="F31" s="63">
        <f t="shared" si="1"/>
        <v>-8.2353</v>
      </c>
      <c r="G31" s="61">
        <v>1</v>
      </c>
      <c r="H31" s="99"/>
      <c r="I31" s="63">
        <f t="shared" si="2"/>
        <v>-5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>
        <f t="shared" si="5"/>
        <v>0</v>
      </c>
      <c r="S31" s="61"/>
      <c r="T31" s="65"/>
      <c r="U31" s="101">
        <f t="shared" si="0"/>
        <v>28.085199999999993</v>
      </c>
    </row>
    <row r="32" spans="1:21" ht="12.75">
      <c r="A32" s="2">
        <v>30</v>
      </c>
      <c r="B32" s="105" t="s">
        <v>218</v>
      </c>
      <c r="C32" s="60">
        <f>'2009年8月'!U32</f>
        <v>74.512</v>
      </c>
      <c r="D32" s="66"/>
      <c r="E32" s="99"/>
      <c r="F32" s="63">
        <f t="shared" si="1"/>
        <v>0</v>
      </c>
      <c r="G32" s="66">
        <v>1</v>
      </c>
      <c r="H32" s="99"/>
      <c r="I32" s="63">
        <f t="shared" si="2"/>
        <v>-5</v>
      </c>
      <c r="J32" s="66">
        <v>1</v>
      </c>
      <c r="K32" s="99"/>
      <c r="L32" s="63">
        <f t="shared" si="3"/>
        <v>-12.727</v>
      </c>
      <c r="M32" s="66"/>
      <c r="N32" s="99"/>
      <c r="O32" s="63">
        <f t="shared" si="4"/>
        <v>0</v>
      </c>
      <c r="P32" s="66"/>
      <c r="Q32" s="9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'2009年8月'!U33</f>
        <v>23.051000000000002</v>
      </c>
      <c r="D33" s="68">
        <v>1</v>
      </c>
      <c r="E33" s="69"/>
      <c r="F33" s="70">
        <f t="shared" si="1"/>
        <v>-8.2353</v>
      </c>
      <c r="G33" s="68">
        <v>1</v>
      </c>
      <c r="H33" s="69">
        <v>100</v>
      </c>
      <c r="I33" s="70">
        <f t="shared" si="2"/>
        <v>-5</v>
      </c>
      <c r="J33" s="68">
        <v>1</v>
      </c>
      <c r="K33" s="69"/>
      <c r="L33" s="70">
        <f t="shared" si="3"/>
        <v>-12.727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97.0887</v>
      </c>
    </row>
    <row r="34" spans="1:21" ht="12.75">
      <c r="A34" s="2">
        <v>32</v>
      </c>
      <c r="B34" s="102" t="s">
        <v>521</v>
      </c>
      <c r="C34" s="118">
        <v>0</v>
      </c>
      <c r="D34" s="68"/>
      <c r="E34" s="69"/>
      <c r="F34" s="70">
        <f t="shared" si="1"/>
        <v>0</v>
      </c>
      <c r="G34" s="95">
        <v>0</v>
      </c>
      <c r="H34" s="69"/>
      <c r="I34" s="70">
        <f t="shared" si="2"/>
        <v>0</v>
      </c>
      <c r="J34" s="95">
        <v>0</v>
      </c>
      <c r="K34" s="69"/>
      <c r="L34" s="70">
        <f t="shared" si="3"/>
        <v>0</v>
      </c>
      <c r="M34" s="68">
        <v>1</v>
      </c>
      <c r="N34" s="69"/>
      <c r="O34" s="70">
        <f t="shared" si="4"/>
        <v>-20</v>
      </c>
      <c r="P34" s="68">
        <v>1</v>
      </c>
      <c r="Q34" s="69"/>
      <c r="R34" s="70">
        <f t="shared" si="5"/>
        <v>-26</v>
      </c>
      <c r="S34" s="73"/>
      <c r="T34" s="72"/>
      <c r="U34" s="101">
        <f t="shared" si="0"/>
        <v>-46</v>
      </c>
    </row>
    <row r="35" spans="1:21" ht="12.75">
      <c r="A35" s="2">
        <v>33</v>
      </c>
      <c r="B35" s="102" t="s">
        <v>221</v>
      </c>
      <c r="C35" s="67">
        <f>'2009年8月'!U35</f>
        <v>64.42420000000001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>
        <v>1</v>
      </c>
      <c r="Q35" s="69"/>
      <c r="R35" s="70">
        <f t="shared" si="5"/>
        <v>-26</v>
      </c>
      <c r="S35" s="68"/>
      <c r="T35" s="72"/>
      <c r="U35" s="101">
        <f aca="true" t="shared" si="6" ref="U35:U53">C35+E35+F35+H35+I35+K35+L35+N35+O35+T35+Q35+R35</f>
        <v>33.42420000000001</v>
      </c>
    </row>
    <row r="36" spans="1:21" ht="12.75">
      <c r="A36" s="2">
        <v>34</v>
      </c>
      <c r="B36" s="103" t="s">
        <v>222</v>
      </c>
      <c r="C36" s="74">
        <f>'2009年8月'!U36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'2009年8月'!U37</f>
        <v>180.8415</v>
      </c>
      <c r="D37" s="75">
        <v>1</v>
      </c>
      <c r="E37" s="76"/>
      <c r="F37" s="77">
        <f t="shared" si="1"/>
        <v>-8.2353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-12.727</v>
      </c>
      <c r="M37" s="75">
        <v>1</v>
      </c>
      <c r="N37" s="76"/>
      <c r="O37" s="77">
        <f t="shared" si="4"/>
        <v>-20</v>
      </c>
      <c r="P37" s="75">
        <v>1</v>
      </c>
      <c r="Q37" s="76"/>
      <c r="R37" s="77">
        <f t="shared" si="5"/>
        <v>-26</v>
      </c>
      <c r="S37" s="75"/>
      <c r="T37" s="79"/>
      <c r="U37" s="101">
        <f t="shared" si="6"/>
        <v>108.8792</v>
      </c>
      <c r="V37" s="37"/>
    </row>
    <row r="38" spans="1:21" ht="12.75">
      <c r="A38" s="2">
        <v>36</v>
      </c>
      <c r="B38" s="103" t="s">
        <v>224</v>
      </c>
      <c r="C38" s="74">
        <f>'2009年8月'!U38</f>
        <v>-0.4589999999999943</v>
      </c>
      <c r="D38" s="75">
        <v>1</v>
      </c>
      <c r="E38" s="76"/>
      <c r="F38" s="77">
        <f t="shared" si="1"/>
        <v>-8.2353</v>
      </c>
      <c r="G38" s="75">
        <v>1</v>
      </c>
      <c r="H38" s="76">
        <v>50</v>
      </c>
      <c r="I38" s="77">
        <f t="shared" si="2"/>
        <v>-5</v>
      </c>
      <c r="J38" s="75">
        <v>1</v>
      </c>
      <c r="K38" s="76"/>
      <c r="L38" s="77">
        <f t="shared" si="3"/>
        <v>-12.727</v>
      </c>
      <c r="M38" s="75"/>
      <c r="N38" s="76"/>
      <c r="O38" s="77">
        <f t="shared" si="4"/>
        <v>0</v>
      </c>
      <c r="P38" s="75"/>
      <c r="Q38" s="76"/>
      <c r="R38" s="77">
        <f t="shared" si="5"/>
        <v>0</v>
      </c>
      <c r="S38" s="80"/>
      <c r="T38" s="79"/>
      <c r="U38" s="101">
        <f t="shared" si="6"/>
        <v>23.5787</v>
      </c>
    </row>
    <row r="39" spans="1:21" ht="12.75">
      <c r="A39" s="2">
        <v>37</v>
      </c>
      <c r="B39" s="106" t="s">
        <v>225</v>
      </c>
      <c r="C39" s="88">
        <f>'2009年8月'!U39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'2009年8月'!U40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'2009年8月'!U41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'2009年8月'!U42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'2009年8月'!U43</f>
        <v>44.7464</v>
      </c>
      <c r="D43" s="86">
        <v>1</v>
      </c>
      <c r="E43" s="98"/>
      <c r="F43" s="84">
        <f t="shared" si="1"/>
        <v>-8.2353</v>
      </c>
      <c r="G43" s="86">
        <v>1</v>
      </c>
      <c r="H43" s="98"/>
      <c r="I43" s="84">
        <f>-5*G43-10</f>
        <v>-15</v>
      </c>
      <c r="J43" s="86">
        <v>1</v>
      </c>
      <c r="K43" s="98"/>
      <c r="L43" s="84">
        <f t="shared" si="3"/>
        <v>-12.727</v>
      </c>
      <c r="M43" s="86"/>
      <c r="N43" s="98"/>
      <c r="O43" s="84">
        <f t="shared" si="4"/>
        <v>0</v>
      </c>
      <c r="P43" s="86"/>
      <c r="Q43" s="9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'2009年8月'!U44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6"/>
        <v>84.96</v>
      </c>
    </row>
    <row r="45" spans="1:21" ht="12.75">
      <c r="A45" s="2">
        <v>43</v>
      </c>
      <c r="B45" s="105" t="s">
        <v>231</v>
      </c>
      <c r="C45" s="60">
        <f>'2009年8月'!U45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'2009年8月'!U46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>
        <f t="shared" si="5"/>
        <v>0</v>
      </c>
      <c r="S46" s="61"/>
      <c r="T46" s="65"/>
      <c r="U46" s="101">
        <f t="shared" si="6"/>
        <v>64.5708</v>
      </c>
    </row>
    <row r="47" spans="1:21" ht="12.75">
      <c r="A47" s="2">
        <v>45</v>
      </c>
      <c r="B47" s="105" t="s">
        <v>232</v>
      </c>
      <c r="C47" s="60">
        <f>'2009年8月'!U47</f>
        <v>30.382799999999975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/>
      <c r="K47" s="99"/>
      <c r="L47" s="63">
        <f t="shared" si="3"/>
        <v>0</v>
      </c>
      <c r="M47" s="66">
        <v>1</v>
      </c>
      <c r="N47" s="99"/>
      <c r="O47" s="63">
        <f t="shared" si="4"/>
        <v>-20</v>
      </c>
      <c r="P47" s="66">
        <v>1</v>
      </c>
      <c r="Q47" s="99"/>
      <c r="R47" s="63">
        <f t="shared" si="5"/>
        <v>-26</v>
      </c>
      <c r="S47" s="66"/>
      <c r="T47" s="65"/>
      <c r="U47" s="101">
        <f t="shared" si="6"/>
        <v>-20.617200000000025</v>
      </c>
    </row>
    <row r="48" spans="1:21" ht="12.75">
      <c r="A48" s="2">
        <v>46</v>
      </c>
      <c r="B48" s="102" t="s">
        <v>507</v>
      </c>
      <c r="C48" s="67">
        <f>'2009年8月'!U48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68"/>
      <c r="Q48" s="69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'2009年8月'!U49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>
        <f t="shared" si="5"/>
        <v>0</v>
      </c>
      <c r="S49" s="73"/>
      <c r="T49" s="72"/>
      <c r="U49" s="101">
        <f t="shared" si="6"/>
        <v>5.3972999999999995</v>
      </c>
    </row>
    <row r="50" spans="1:21" ht="12.75">
      <c r="A50" s="2">
        <v>48</v>
      </c>
      <c r="B50" s="102" t="s">
        <v>509</v>
      </c>
      <c r="C50" s="67">
        <f>'2009年8月'!U50</f>
        <v>69.43889999999999</v>
      </c>
      <c r="D50" s="68">
        <v>1</v>
      </c>
      <c r="E50" s="69"/>
      <c r="F50" s="70">
        <f t="shared" si="1"/>
        <v>-8.2353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'2009年8月'!U51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'2009年8月'!U52</f>
        <v>-21.601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>
        <v>100</v>
      </c>
      <c r="O52" s="77">
        <f t="shared" si="4"/>
        <v>-20</v>
      </c>
      <c r="P52" s="80">
        <v>1</v>
      </c>
      <c r="Q52" s="96"/>
      <c r="R52" s="77">
        <f t="shared" si="5"/>
        <v>-26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'2009年8月'!U53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17</v>
      </c>
      <c r="F55" s="1">
        <f>E66/D55</f>
        <v>8.235294117647058</v>
      </c>
      <c r="G55" s="1">
        <f>SUM(G3:G53)</f>
        <v>23</v>
      </c>
      <c r="I55" s="1">
        <f>H66/G55</f>
        <v>5.217391304347826</v>
      </c>
      <c r="J55" s="1">
        <f>SUM(J3:J53)</f>
        <v>10</v>
      </c>
      <c r="L55" s="1">
        <f>K66/J55</f>
        <v>14</v>
      </c>
      <c r="M55" s="1">
        <f>SUM(M3:M53)</f>
        <v>10</v>
      </c>
      <c r="O55" s="1">
        <f>N66/M55</f>
        <v>20</v>
      </c>
      <c r="P55" s="1">
        <f>SUM(P3:P53)</f>
        <v>10</v>
      </c>
      <c r="R55" s="1">
        <f>Q66/P55</f>
        <v>26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-140.00009999999997</v>
      </c>
      <c r="H57" s="37" t="s">
        <v>235</v>
      </c>
      <c r="I57" s="1">
        <f>SUM(I3:I53)</f>
        <v>-135</v>
      </c>
      <c r="K57" s="37" t="s">
        <v>235</v>
      </c>
      <c r="L57" s="1">
        <f>SUM(L3:L53)</f>
        <v>-127.27000000000002</v>
      </c>
      <c r="N57" s="37" t="s">
        <v>235</v>
      </c>
      <c r="O57" s="1">
        <f>SUM(O3:O53)</f>
        <v>-200</v>
      </c>
      <c r="Q57" s="37" t="s">
        <v>235</v>
      </c>
      <c r="R57" s="1">
        <f>SUM(R3:R53)</f>
        <v>-260</v>
      </c>
      <c r="U57" s="24"/>
    </row>
    <row r="58" spans="2:21" ht="12.75">
      <c r="B58" s="41" t="s">
        <v>236</v>
      </c>
      <c r="C58" s="36">
        <f>SUM(C3:C53)</f>
        <v>2265.9536</v>
      </c>
      <c r="E58" s="41"/>
      <c r="H58" s="41"/>
      <c r="K58" s="41"/>
      <c r="N58" s="41"/>
      <c r="Q58" s="41"/>
      <c r="U58" s="24"/>
    </row>
    <row r="59" spans="19:21" ht="12.75">
      <c r="S59" s="151" t="s">
        <v>8</v>
      </c>
      <c r="T59" s="151"/>
      <c r="U59" s="56">
        <f>SUM(U3:U53)</f>
        <v>1771.6135</v>
      </c>
    </row>
    <row r="60" spans="4:18" ht="12.75" customHeight="1">
      <c r="D60" s="155" t="s">
        <v>516</v>
      </c>
      <c r="E60" s="161"/>
      <c r="F60" s="162"/>
      <c r="G60" s="155" t="s">
        <v>517</v>
      </c>
      <c r="H60" s="161"/>
      <c r="I60" s="162"/>
      <c r="J60" s="155" t="s">
        <v>519</v>
      </c>
      <c r="K60" s="161"/>
      <c r="L60" s="162"/>
      <c r="M60" s="155" t="s">
        <v>522</v>
      </c>
      <c r="N60" s="161"/>
      <c r="O60" s="162"/>
      <c r="P60" s="155" t="s">
        <v>525</v>
      </c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140</v>
      </c>
      <c r="F66" s="51"/>
      <c r="G66" s="52" t="s">
        <v>238</v>
      </c>
      <c r="H66" s="50">
        <f>H68-H84-H93</f>
        <v>120</v>
      </c>
      <c r="I66" s="51"/>
      <c r="J66" s="52" t="s">
        <v>238</v>
      </c>
      <c r="K66" s="50">
        <f>K68-K84-K93</f>
        <v>140</v>
      </c>
      <c r="L66" s="51"/>
      <c r="M66" s="52" t="s">
        <v>238</v>
      </c>
      <c r="N66" s="50">
        <f>N68-N84-N93</f>
        <v>200</v>
      </c>
      <c r="O66" s="51"/>
      <c r="P66" s="52" t="s">
        <v>238</v>
      </c>
      <c r="Q66" s="50">
        <f>Q68-Q84-Q93</f>
        <v>260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150</v>
      </c>
      <c r="F68" s="55"/>
      <c r="G68" s="110" t="s">
        <v>237</v>
      </c>
      <c r="H68" s="54">
        <v>150</v>
      </c>
      <c r="I68" s="55"/>
      <c r="J68" s="110" t="s">
        <v>237</v>
      </c>
      <c r="K68" s="54">
        <v>150</v>
      </c>
      <c r="L68" s="55"/>
      <c r="M68" s="110" t="s">
        <v>237</v>
      </c>
      <c r="N68" s="54">
        <v>200</v>
      </c>
      <c r="O68" s="55"/>
      <c r="P68" s="110" t="s">
        <v>526</v>
      </c>
      <c r="Q68" s="54">
        <v>260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9" t="s">
        <v>512</v>
      </c>
      <c r="E74" s="149"/>
      <c r="F74" s="149"/>
      <c r="G74" s="149" t="s">
        <v>512</v>
      </c>
      <c r="H74" s="149"/>
      <c r="I74" s="149"/>
      <c r="J74" s="149" t="s">
        <v>512</v>
      </c>
      <c r="K74" s="149"/>
      <c r="L74" s="149"/>
      <c r="M74" s="166" t="s">
        <v>523</v>
      </c>
      <c r="N74" s="166"/>
      <c r="O74" s="166"/>
      <c r="P74" s="149"/>
      <c r="Q74" s="149"/>
      <c r="R74" s="14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66"/>
      <c r="N75" s="166"/>
      <c r="O75" s="166"/>
      <c r="P75" s="149"/>
      <c r="Q75" s="149"/>
      <c r="R75" s="149"/>
    </row>
    <row r="76" spans="4:18" ht="13.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66"/>
      <c r="N76" s="166"/>
      <c r="O76" s="166"/>
      <c r="P76" s="149"/>
      <c r="Q76" s="149"/>
      <c r="R76" s="149"/>
    </row>
    <row r="77" spans="4:18" ht="12.75" customHeight="1">
      <c r="D77" s="149" t="s">
        <v>515</v>
      </c>
      <c r="E77" s="149"/>
      <c r="F77" s="149"/>
      <c r="G77" s="149" t="s">
        <v>515</v>
      </c>
      <c r="H77" s="149"/>
      <c r="I77" s="149"/>
      <c r="J77" s="149" t="s">
        <v>515</v>
      </c>
      <c r="K77" s="149"/>
      <c r="L77" s="149"/>
      <c r="M77" s="166" t="s">
        <v>524</v>
      </c>
      <c r="N77" s="166"/>
      <c r="O77" s="166"/>
      <c r="P77" s="149"/>
      <c r="Q77" s="149"/>
      <c r="R77" s="149"/>
    </row>
    <row r="78" spans="4:18" ht="12.75">
      <c r="D78" s="149"/>
      <c r="E78" s="149"/>
      <c r="F78" s="149"/>
      <c r="G78" s="149"/>
      <c r="H78" s="149"/>
      <c r="I78" s="149"/>
      <c r="J78" s="149"/>
      <c r="K78" s="149"/>
      <c r="L78" s="149"/>
      <c r="M78" s="166"/>
      <c r="N78" s="166"/>
      <c r="O78" s="166"/>
      <c r="P78" s="149"/>
      <c r="Q78" s="149"/>
      <c r="R78" s="149"/>
    </row>
    <row r="79" spans="4:18" ht="14.25" customHeight="1">
      <c r="D79" s="149"/>
      <c r="E79" s="149"/>
      <c r="F79" s="149"/>
      <c r="G79" s="149"/>
      <c r="H79" s="149"/>
      <c r="I79" s="149"/>
      <c r="J79" s="149"/>
      <c r="K79" s="149"/>
      <c r="L79" s="149"/>
      <c r="M79" s="166"/>
      <c r="N79" s="166"/>
      <c r="O79" s="166"/>
      <c r="P79" s="149"/>
      <c r="Q79" s="149"/>
      <c r="R79" s="149"/>
    </row>
    <row r="80" spans="4:17" ht="12.75">
      <c r="D80" s="153" t="s">
        <v>239</v>
      </c>
      <c r="E80" s="154"/>
      <c r="G80" s="153" t="s">
        <v>239</v>
      </c>
      <c r="H80" s="154"/>
      <c r="J80" s="153" t="s">
        <v>239</v>
      </c>
      <c r="K80" s="154"/>
      <c r="M80" s="153" t="s">
        <v>239</v>
      </c>
      <c r="N80" s="154"/>
      <c r="P80" s="153"/>
      <c r="Q80" s="154"/>
    </row>
    <row r="81" spans="4:16" ht="12.75" customHeight="1">
      <c r="D81" s="37"/>
      <c r="G81" s="37" t="s">
        <v>518</v>
      </c>
      <c r="H81" s="1">
        <v>10</v>
      </c>
      <c r="J81" s="37"/>
      <c r="M81" s="37"/>
      <c r="P81" s="37"/>
    </row>
    <row r="82" spans="4:16" ht="12.75" customHeight="1">
      <c r="D82" s="107"/>
      <c r="G82" s="117" t="s">
        <v>151</v>
      </c>
      <c r="H82" s="1">
        <v>10</v>
      </c>
      <c r="J82" s="117"/>
      <c r="M82" s="117"/>
      <c r="P82" s="37"/>
    </row>
    <row r="83" spans="4:16" ht="12.75">
      <c r="D83" s="37" t="s">
        <v>513</v>
      </c>
      <c r="E83" s="1">
        <v>10</v>
      </c>
      <c r="G83" s="37" t="s">
        <v>513</v>
      </c>
      <c r="H83" s="1">
        <v>10</v>
      </c>
      <c r="J83" s="37" t="s">
        <v>513</v>
      </c>
      <c r="K83" s="1">
        <v>10</v>
      </c>
      <c r="M83" s="37"/>
      <c r="P83" s="37"/>
    </row>
    <row r="84" spans="5:17" ht="12.75">
      <c r="E84" s="37">
        <f>SUM(E82:E83)</f>
        <v>10</v>
      </c>
      <c r="H84" s="37">
        <f>SUM(H81:H83)</f>
        <v>30</v>
      </c>
      <c r="K84" s="37">
        <f>SUM(K81:K83)</f>
        <v>10</v>
      </c>
      <c r="N84" s="37">
        <f>SUM(N81:N83)</f>
        <v>0</v>
      </c>
      <c r="P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240</v>
      </c>
      <c r="E87" s="154"/>
      <c r="G87" s="153" t="s">
        <v>240</v>
      </c>
      <c r="H87" s="154"/>
      <c r="J87" s="153" t="s">
        <v>240</v>
      </c>
      <c r="K87" s="154"/>
      <c r="M87" s="153" t="s">
        <v>240</v>
      </c>
      <c r="N87" s="154"/>
      <c r="P87" s="153"/>
      <c r="Q87" s="154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</row>
    <row r="93" spans="5:14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</row>
    <row r="95" spans="4:18" ht="12.75" customHeight="1">
      <c r="D95" s="152" t="s">
        <v>514</v>
      </c>
      <c r="E95" s="152"/>
      <c r="F95" s="152"/>
      <c r="G95" s="152" t="s">
        <v>514</v>
      </c>
      <c r="H95" s="152"/>
      <c r="I95" s="152"/>
      <c r="J95" s="152" t="s">
        <v>514</v>
      </c>
      <c r="K95" s="152"/>
      <c r="L95" s="152"/>
      <c r="M95" s="152" t="s">
        <v>514</v>
      </c>
      <c r="N95" s="152"/>
      <c r="O95" s="152"/>
      <c r="P95" s="152"/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481</v>
      </c>
      <c r="E99" s="37"/>
      <c r="F99" s="59"/>
      <c r="G99" s="107" t="s">
        <v>47</v>
      </c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6" t="s">
        <v>238</v>
      </c>
      <c r="E102" s="154"/>
      <c r="F102" s="154"/>
      <c r="G102" s="156" t="s">
        <v>238</v>
      </c>
      <c r="H102" s="154"/>
      <c r="I102" s="154"/>
      <c r="J102" s="156" t="s">
        <v>238</v>
      </c>
      <c r="K102" s="154"/>
      <c r="L102" s="154"/>
      <c r="M102" s="156" t="s">
        <v>238</v>
      </c>
      <c r="N102" s="154"/>
      <c r="O102" s="154"/>
      <c r="P102" s="156"/>
      <c r="Q102" s="154"/>
      <c r="R102" s="154"/>
    </row>
    <row r="103" spans="4:18" ht="12.75"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N7" sqref="N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40103</v>
      </c>
      <c r="E1" s="158"/>
      <c r="F1" s="159"/>
      <c r="G1" s="18"/>
      <c r="H1" s="32">
        <v>40111</v>
      </c>
      <c r="I1" s="19"/>
      <c r="J1" s="44"/>
      <c r="K1" s="32">
        <v>40117</v>
      </c>
      <c r="L1" s="45"/>
      <c r="M1" s="18"/>
      <c r="N1" s="32">
        <v>40124</v>
      </c>
      <c r="O1" s="19"/>
      <c r="P1" s="18"/>
      <c r="Q1" s="32">
        <v>40131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'2009年9月'!U3</f>
        <v>13.992399999999968</v>
      </c>
      <c r="D3" s="68">
        <v>1</v>
      </c>
      <c r="E3" s="69">
        <v>48.391</v>
      </c>
      <c r="F3" s="70">
        <f>-14.2857*D3</f>
        <v>-14.2857</v>
      </c>
      <c r="G3" s="68">
        <v>1</v>
      </c>
      <c r="H3" s="69"/>
      <c r="I3" s="70">
        <f>-14.2857*G3</f>
        <v>-14.2857</v>
      </c>
      <c r="J3" s="68"/>
      <c r="K3" s="69">
        <v>42.1051</v>
      </c>
      <c r="L3" s="70">
        <f>-10*J3</f>
        <v>0</v>
      </c>
      <c r="M3" s="68">
        <v>1</v>
      </c>
      <c r="N3" s="69"/>
      <c r="O3" s="70">
        <f>0*M3</f>
        <v>0</v>
      </c>
      <c r="P3" s="122">
        <v>1</v>
      </c>
      <c r="Q3" s="131"/>
      <c r="R3" s="70">
        <f>-3.2624*P3</f>
        <v>-3.2624</v>
      </c>
      <c r="S3" s="68"/>
      <c r="T3" s="72"/>
      <c r="U3" s="101">
        <f aca="true" t="shared" si="0" ref="U3:U34">C3+E3+F3+H3+I3+K3+L3+N3+O3+T3+Q3+R3</f>
        <v>72.65469999999998</v>
      </c>
    </row>
    <row r="4" spans="1:21" ht="12.75">
      <c r="A4" s="2">
        <v>2</v>
      </c>
      <c r="B4" s="100" t="s">
        <v>3</v>
      </c>
      <c r="C4" s="67">
        <f>'2009年9月'!U4</f>
        <v>-6.096800000000009</v>
      </c>
      <c r="D4" s="68">
        <v>1</v>
      </c>
      <c r="E4" s="69"/>
      <c r="F4" s="70">
        <f aca="true" t="shared" si="1" ref="F4:F53">-14.2857*D4</f>
        <v>-14.2857</v>
      </c>
      <c r="G4" s="68"/>
      <c r="H4" s="69"/>
      <c r="I4" s="70">
        <f aca="true" t="shared" si="2" ref="I4:I53">-14.2857*G4</f>
        <v>0</v>
      </c>
      <c r="J4" s="68"/>
      <c r="K4" s="69"/>
      <c r="L4" s="70">
        <f aca="true" t="shared" si="3" ref="L4:L53">-10*J4</f>
        <v>0</v>
      </c>
      <c r="M4" s="68"/>
      <c r="N4" s="69"/>
      <c r="O4" s="70">
        <f aca="true" t="shared" si="4" ref="O4:O53">0*M4</f>
        <v>0</v>
      </c>
      <c r="P4" s="122"/>
      <c r="Q4" s="131"/>
      <c r="R4" s="70">
        <f aca="true" t="shared" si="5" ref="R4:R53">-3.2624*P4</f>
        <v>0</v>
      </c>
      <c r="S4" s="73"/>
      <c r="T4" s="72"/>
      <c r="U4" s="101">
        <f t="shared" si="0"/>
        <v>-20.382500000000007</v>
      </c>
    </row>
    <row r="5" spans="1:21" ht="12.75">
      <c r="A5" s="2">
        <v>3</v>
      </c>
      <c r="B5" s="102" t="s">
        <v>191</v>
      </c>
      <c r="C5" s="67">
        <f>'2009年9月'!U5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'2009年9月'!U6</f>
        <v>-25.244699999999995</v>
      </c>
      <c r="D6" s="80">
        <v>1</v>
      </c>
      <c r="E6" s="76">
        <v>100</v>
      </c>
      <c r="F6" s="77">
        <f t="shared" si="1"/>
        <v>-14.2857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123">
        <v>1</v>
      </c>
      <c r="Q6" s="132"/>
      <c r="R6" s="77">
        <f t="shared" si="5"/>
        <v>-3.2624</v>
      </c>
      <c r="S6" s="80"/>
      <c r="T6" s="79"/>
      <c r="U6" s="101">
        <f t="shared" si="0"/>
        <v>57.20720000000001</v>
      </c>
      <c r="W6" s="37"/>
    </row>
    <row r="7" spans="1:21" ht="12.75">
      <c r="A7" s="2">
        <v>5</v>
      </c>
      <c r="B7" s="103" t="s">
        <v>193</v>
      </c>
      <c r="C7" s="74">
        <f>'2009年9月'!U7</f>
        <v>7.248000000000005</v>
      </c>
      <c r="D7" s="75">
        <v>1</v>
      </c>
      <c r="E7" s="76"/>
      <c r="F7" s="77">
        <f t="shared" si="1"/>
        <v>-14.2857</v>
      </c>
      <c r="G7" s="75">
        <v>1</v>
      </c>
      <c r="H7" s="76"/>
      <c r="I7" s="77">
        <f t="shared" si="2"/>
        <v>-14.2857</v>
      </c>
      <c r="J7" s="75">
        <v>1</v>
      </c>
      <c r="K7" s="76"/>
      <c r="L7" s="77">
        <f t="shared" si="3"/>
        <v>-10</v>
      </c>
      <c r="M7" s="75">
        <v>1</v>
      </c>
      <c r="N7" s="76">
        <v>100</v>
      </c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68.67660000000001</v>
      </c>
    </row>
    <row r="8" spans="1:21" ht="12.75">
      <c r="A8" s="2">
        <v>6</v>
      </c>
      <c r="B8" s="103" t="s">
        <v>194</v>
      </c>
      <c r="C8" s="74">
        <f>'2009年9月'!U8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'2009年9月'!U9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v>-63.68</v>
      </c>
      <c r="P9" s="125"/>
      <c r="Q9" s="134"/>
      <c r="R9" s="91">
        <f t="shared" si="5"/>
        <v>0</v>
      </c>
      <c r="S9" s="89"/>
      <c r="T9" s="93"/>
      <c r="U9" s="101">
        <f t="shared" si="0"/>
        <v>0</v>
      </c>
    </row>
    <row r="10" spans="1:21" ht="12.75">
      <c r="A10" s="2">
        <v>8</v>
      </c>
      <c r="B10" s="106" t="s">
        <v>196</v>
      </c>
      <c r="C10" s="88">
        <f>'2009年9月'!U10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v>-15.6</v>
      </c>
      <c r="P10" s="126"/>
      <c r="Q10" s="135"/>
      <c r="R10" s="91">
        <v>-34.54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197</v>
      </c>
      <c r="C11" s="88">
        <f>'2009年9月'!U11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f>'2009年9月'!U12</f>
        <v>0</v>
      </c>
      <c r="D12" s="82"/>
      <c r="E12" s="83"/>
      <c r="F12" s="84">
        <f t="shared" si="1"/>
        <v>0</v>
      </c>
      <c r="G12" s="82">
        <v>1</v>
      </c>
      <c r="H12" s="83">
        <v>100</v>
      </c>
      <c r="I12" s="84">
        <f t="shared" si="2"/>
        <v>-14.2857</v>
      </c>
      <c r="J12" s="82">
        <v>1</v>
      </c>
      <c r="K12" s="83"/>
      <c r="L12" s="84">
        <f t="shared" si="3"/>
        <v>-10</v>
      </c>
      <c r="M12" s="82">
        <v>1</v>
      </c>
      <c r="N12" s="83"/>
      <c r="O12" s="84">
        <f t="shared" si="4"/>
        <v>0</v>
      </c>
      <c r="P12" s="127">
        <v>1</v>
      </c>
      <c r="Q12" s="136"/>
      <c r="R12" s="84">
        <f t="shared" si="5"/>
        <v>-3.2624</v>
      </c>
      <c r="S12" s="82"/>
      <c r="T12" s="87"/>
      <c r="U12" s="101">
        <f t="shared" si="0"/>
        <v>72.4519</v>
      </c>
    </row>
    <row r="13" spans="1:21" ht="12.75">
      <c r="A13" s="2">
        <v>11</v>
      </c>
      <c r="B13" s="104" t="s">
        <v>199</v>
      </c>
      <c r="C13" s="81">
        <f>'2009年9月'!U13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'2009年9月'!U14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'2009年9月'!U15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'2009年9月'!U16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'2009年9月'!U17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v>-20.72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f>'2009年9月'!U18</f>
        <v>12.630199999999977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>
        <v>50</v>
      </c>
      <c r="R18" s="70">
        <f t="shared" si="5"/>
        <v>-3.2624</v>
      </c>
      <c r="S18" s="68"/>
      <c r="T18" s="72"/>
      <c r="U18" s="101">
        <f t="shared" si="0"/>
        <v>59.367799999999974</v>
      </c>
    </row>
    <row r="19" spans="1:23" ht="12.75">
      <c r="A19" s="2">
        <v>17</v>
      </c>
      <c r="B19" s="102" t="s">
        <v>205</v>
      </c>
      <c r="C19" s="67">
        <f>'2009年9月'!U19</f>
        <v>-5.419399999999978</v>
      </c>
      <c r="D19" s="68">
        <v>1</v>
      </c>
      <c r="E19" s="69">
        <v>100</v>
      </c>
      <c r="F19" s="70">
        <f t="shared" si="1"/>
        <v>-14.2857</v>
      </c>
      <c r="G19" s="68">
        <v>2</v>
      </c>
      <c r="H19" s="69"/>
      <c r="I19" s="70">
        <f t="shared" si="2"/>
        <v>-28.5714</v>
      </c>
      <c r="J19" s="68">
        <v>1</v>
      </c>
      <c r="K19" s="69"/>
      <c r="L19" s="70">
        <f t="shared" si="3"/>
        <v>-10</v>
      </c>
      <c r="M19" s="68"/>
      <c r="N19" s="69"/>
      <c r="O19" s="70">
        <f t="shared" si="4"/>
        <v>0</v>
      </c>
      <c r="P19" s="122">
        <v>2</v>
      </c>
      <c r="Q19" s="131"/>
      <c r="R19" s="70">
        <f>-3.2624*P19-10</f>
        <v>-16.5248</v>
      </c>
      <c r="S19" s="73"/>
      <c r="T19" s="72"/>
      <c r="U19" s="101">
        <f t="shared" si="0"/>
        <v>25.198700000000017</v>
      </c>
      <c r="W19" s="37"/>
    </row>
    <row r="20" spans="1:21" ht="12.75">
      <c r="A20" s="2">
        <v>18</v>
      </c>
      <c r="B20" s="102" t="s">
        <v>206</v>
      </c>
      <c r="C20" s="67">
        <f>'2009年9月'!U20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549</v>
      </c>
      <c r="C21" s="74">
        <f>'2009年9月'!U21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>
        <v>-34.52</v>
      </c>
      <c r="L21" s="77">
        <f t="shared" si="3"/>
        <v>0</v>
      </c>
      <c r="M21" s="75">
        <v>1</v>
      </c>
      <c r="N21" s="76">
        <v>100</v>
      </c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100</v>
      </c>
    </row>
    <row r="22" spans="1:21" ht="12.75">
      <c r="A22" s="2">
        <v>20</v>
      </c>
      <c r="B22" s="103" t="s">
        <v>208</v>
      </c>
      <c r="C22" s="74">
        <f>'2009年9月'!U22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'2009年9月'!U23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'2009年9月'!U24</f>
        <v>-0.48170000000000357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>
        <v>1</v>
      </c>
      <c r="Q24" s="134">
        <v>100</v>
      </c>
      <c r="R24" s="91">
        <f t="shared" si="5"/>
        <v>-3.2624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211</v>
      </c>
      <c r="C25" s="88">
        <f>'2009年9月'!U25</f>
        <v>-13.189499999999995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-14.2857</v>
      </c>
      <c r="J25" s="89">
        <v>1</v>
      </c>
      <c r="K25" s="90"/>
      <c r="L25" s="91">
        <f t="shared" si="3"/>
        <v>-10</v>
      </c>
      <c r="M25" s="89">
        <v>1</v>
      </c>
      <c r="N25" s="90">
        <v>100</v>
      </c>
      <c r="O25" s="91">
        <f t="shared" si="4"/>
        <v>0</v>
      </c>
      <c r="P25" s="125">
        <v>1</v>
      </c>
      <c r="Q25" s="134"/>
      <c r="R25" s="91">
        <f t="shared" si="5"/>
        <v>-3.2624</v>
      </c>
      <c r="S25" s="89"/>
      <c r="T25" s="93"/>
      <c r="U25" s="101">
        <f t="shared" si="0"/>
        <v>59.26240000000001</v>
      </c>
    </row>
    <row r="26" spans="1:21" ht="12.75">
      <c r="A26" s="2">
        <v>24</v>
      </c>
      <c r="B26" s="106" t="s">
        <v>212</v>
      </c>
      <c r="C26" s="88">
        <f>'2009年9月'!U26</f>
        <v>62.421800000000005</v>
      </c>
      <c r="D26" s="89"/>
      <c r="E26" s="90"/>
      <c r="F26" s="91">
        <f t="shared" si="1"/>
        <v>0</v>
      </c>
      <c r="G26" s="89">
        <v>2</v>
      </c>
      <c r="H26" s="90"/>
      <c r="I26" s="91">
        <f t="shared" si="2"/>
        <v>-28.5714</v>
      </c>
      <c r="J26" s="89">
        <v>1</v>
      </c>
      <c r="K26" s="90"/>
      <c r="L26" s="91">
        <f t="shared" si="3"/>
        <v>-10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23.850400000000008</v>
      </c>
    </row>
    <row r="27" spans="1:21" ht="12.75">
      <c r="A27" s="2">
        <v>25</v>
      </c>
      <c r="B27" s="104" t="s">
        <v>213</v>
      </c>
      <c r="C27" s="81">
        <f>'2009年9月'!U27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>
        <v>-42.63</v>
      </c>
      <c r="L27" s="84">
        <f t="shared" si="3"/>
        <v>0</v>
      </c>
      <c r="M27" s="82"/>
      <c r="N27" s="98"/>
      <c r="O27" s="84">
        <f t="shared" si="4"/>
        <v>0</v>
      </c>
      <c r="P27" s="127"/>
      <c r="Q27" s="136"/>
      <c r="R27" s="84">
        <f t="shared" si="5"/>
        <v>0</v>
      </c>
      <c r="S27" s="82"/>
      <c r="T27" s="87"/>
      <c r="U27" s="101">
        <f t="shared" si="0"/>
        <v>0</v>
      </c>
    </row>
    <row r="28" spans="1:21" ht="12.75">
      <c r="A28" s="2">
        <v>26</v>
      </c>
      <c r="B28" s="104" t="s">
        <v>214</v>
      </c>
      <c r="C28" s="81">
        <f>'2009年9月'!U28</f>
        <v>9.810499999999994</v>
      </c>
      <c r="D28" s="86">
        <v>1</v>
      </c>
      <c r="E28" s="98"/>
      <c r="F28" s="84">
        <f t="shared" si="1"/>
        <v>-14.2857</v>
      </c>
      <c r="G28" s="86">
        <v>1</v>
      </c>
      <c r="H28" s="98"/>
      <c r="I28" s="84">
        <f t="shared" si="2"/>
        <v>-14.2857</v>
      </c>
      <c r="J28" s="86"/>
      <c r="K28" s="98"/>
      <c r="L28" s="84">
        <f t="shared" si="3"/>
        <v>0</v>
      </c>
      <c r="M28" s="86">
        <v>1</v>
      </c>
      <c r="N28" s="98">
        <v>50</v>
      </c>
      <c r="O28" s="84">
        <f t="shared" si="4"/>
        <v>0</v>
      </c>
      <c r="P28" s="129">
        <v>1</v>
      </c>
      <c r="Q28" s="138">
        <v>50</v>
      </c>
      <c r="R28" s="84">
        <f t="shared" si="5"/>
        <v>-3.2624</v>
      </c>
      <c r="S28" s="86"/>
      <c r="T28" s="87"/>
      <c r="U28" s="101">
        <f t="shared" si="0"/>
        <v>77.9767</v>
      </c>
    </row>
    <row r="29" spans="1:21" ht="12.75">
      <c r="A29" s="2">
        <v>27</v>
      </c>
      <c r="B29" s="104" t="s">
        <v>215</v>
      </c>
      <c r="C29" s="81">
        <f>'2009年9月'!U29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'2009年9月'!U30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'2009年9月'!U31</f>
        <v>28.085199999999993</v>
      </c>
      <c r="D31" s="61">
        <v>1</v>
      </c>
      <c r="E31" s="99"/>
      <c r="F31" s="63">
        <f t="shared" si="1"/>
        <v>-14.2857</v>
      </c>
      <c r="G31" s="61">
        <v>1</v>
      </c>
      <c r="H31" s="99"/>
      <c r="I31" s="63">
        <f t="shared" si="2"/>
        <v>-14.2857</v>
      </c>
      <c r="J31" s="61">
        <v>1</v>
      </c>
      <c r="K31" s="99"/>
      <c r="L31" s="63">
        <f t="shared" si="3"/>
        <v>-10</v>
      </c>
      <c r="M31" s="61"/>
      <c r="N31" s="99"/>
      <c r="O31" s="63">
        <f t="shared" si="4"/>
        <v>0</v>
      </c>
      <c r="P31" s="128">
        <v>1</v>
      </c>
      <c r="Q31" s="137"/>
      <c r="R31" s="63">
        <f t="shared" si="5"/>
        <v>-3.2624</v>
      </c>
      <c r="S31" s="61"/>
      <c r="T31" s="65"/>
      <c r="U31" s="101">
        <f t="shared" si="0"/>
        <v>-13.748600000000007</v>
      </c>
    </row>
    <row r="32" spans="1:21" ht="12.75">
      <c r="A32" s="2">
        <v>30</v>
      </c>
      <c r="B32" s="105" t="s">
        <v>218</v>
      </c>
      <c r="C32" s="60">
        <f>'2009年9月'!U32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'2009年9月'!U33</f>
        <v>97.0887</v>
      </c>
      <c r="D33" s="68">
        <v>1</v>
      </c>
      <c r="E33" s="69"/>
      <c r="F33" s="70">
        <f t="shared" si="1"/>
        <v>-14.2857</v>
      </c>
      <c r="G33" s="68">
        <v>1</v>
      </c>
      <c r="H33" s="69"/>
      <c r="I33" s="70">
        <f t="shared" si="2"/>
        <v>-14.2857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513</v>
      </c>
      <c r="C34" s="67">
        <f>'2009年9月'!U34</f>
        <v>-46</v>
      </c>
      <c r="D34" s="68">
        <v>2</v>
      </c>
      <c r="E34" s="69">
        <v>100</v>
      </c>
      <c r="F34" s="70">
        <f t="shared" si="1"/>
        <v>-28.5714</v>
      </c>
      <c r="G34" s="120">
        <v>1</v>
      </c>
      <c r="H34" s="69"/>
      <c r="I34" s="70">
        <f t="shared" si="2"/>
        <v>-14.2857</v>
      </c>
      <c r="J34" s="120">
        <v>1</v>
      </c>
      <c r="K34" s="69"/>
      <c r="L34" s="70">
        <f t="shared" si="3"/>
        <v>-10</v>
      </c>
      <c r="M34" s="68">
        <v>2</v>
      </c>
      <c r="N34" s="69"/>
      <c r="O34" s="70">
        <f t="shared" si="4"/>
        <v>0</v>
      </c>
      <c r="P34" s="122">
        <v>1</v>
      </c>
      <c r="Q34" s="131">
        <v>100</v>
      </c>
      <c r="R34" s="70">
        <f t="shared" si="5"/>
        <v>-3.2624</v>
      </c>
      <c r="S34" s="73"/>
      <c r="T34" s="72"/>
      <c r="U34" s="101">
        <f t="shared" si="0"/>
        <v>97.8805</v>
      </c>
    </row>
    <row r="35" spans="1:21" ht="12.75">
      <c r="A35" s="2">
        <v>33</v>
      </c>
      <c r="B35" s="102" t="s">
        <v>221</v>
      </c>
      <c r="C35" s="67">
        <f>'2009年9月'!U35</f>
        <v>33.42420000000001</v>
      </c>
      <c r="D35" s="68">
        <v>1</v>
      </c>
      <c r="E35" s="69"/>
      <c r="F35" s="70">
        <f t="shared" si="1"/>
        <v>-14.2857</v>
      </c>
      <c r="G35" s="68">
        <v>1</v>
      </c>
      <c r="H35" s="69"/>
      <c r="I35" s="70">
        <f t="shared" si="2"/>
        <v>-14.2857</v>
      </c>
      <c r="J35" s="68">
        <v>1</v>
      </c>
      <c r="K35" s="69"/>
      <c r="L35" s="70">
        <f t="shared" si="3"/>
        <v>-10</v>
      </c>
      <c r="M35" s="68">
        <v>1</v>
      </c>
      <c r="N35" s="69">
        <v>100</v>
      </c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94.85280000000002</v>
      </c>
    </row>
    <row r="36" spans="1:21" ht="12.75">
      <c r="A36" s="2">
        <v>34</v>
      </c>
      <c r="B36" s="103" t="s">
        <v>222</v>
      </c>
      <c r="C36" s="74">
        <f>'2009年9月'!U36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'2009年9月'!U37</f>
        <v>108.8792</v>
      </c>
      <c r="D37" s="75">
        <v>1</v>
      </c>
      <c r="E37" s="76"/>
      <c r="F37" s="77">
        <f t="shared" si="1"/>
        <v>-14.2857</v>
      </c>
      <c r="G37" s="75"/>
      <c r="H37" s="76"/>
      <c r="I37" s="77">
        <f t="shared" si="2"/>
        <v>0</v>
      </c>
      <c r="J37" s="75">
        <v>1</v>
      </c>
      <c r="K37" s="76"/>
      <c r="L37" s="77">
        <f t="shared" si="3"/>
        <v>-10</v>
      </c>
      <c r="M37" s="75">
        <v>1</v>
      </c>
      <c r="N37" s="76"/>
      <c r="O37" s="77">
        <f t="shared" si="4"/>
        <v>0</v>
      </c>
      <c r="P37" s="124">
        <v>1</v>
      </c>
      <c r="Q37" s="133"/>
      <c r="R37" s="77">
        <f t="shared" si="5"/>
        <v>-3.2624</v>
      </c>
      <c r="S37" s="75"/>
      <c r="T37" s="79"/>
      <c r="U37" s="101">
        <f t="shared" si="6"/>
        <v>81.33109999999999</v>
      </c>
      <c r="V37" s="37"/>
    </row>
    <row r="38" spans="1:21" ht="12.75">
      <c r="A38" s="2">
        <v>36</v>
      </c>
      <c r="B38" s="103" t="s">
        <v>224</v>
      </c>
      <c r="C38" s="74">
        <f>'2009年9月'!U38</f>
        <v>23.5787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-14.2857</v>
      </c>
      <c r="J38" s="75"/>
      <c r="K38" s="76"/>
      <c r="L38" s="77">
        <f t="shared" si="3"/>
        <v>0</v>
      </c>
      <c r="M38" s="75"/>
      <c r="N38" s="76"/>
      <c r="O38" s="77">
        <f t="shared" si="4"/>
        <v>0</v>
      </c>
      <c r="P38" s="124"/>
      <c r="Q38" s="133"/>
      <c r="R38" s="77">
        <f t="shared" si="5"/>
        <v>0</v>
      </c>
      <c r="S38" s="80"/>
      <c r="T38" s="79"/>
      <c r="U38" s="101">
        <f t="shared" si="6"/>
        <v>9.293000000000001</v>
      </c>
    </row>
    <row r="39" spans="1:21" ht="12.75">
      <c r="A39" s="2">
        <v>37</v>
      </c>
      <c r="B39" s="106" t="s">
        <v>225</v>
      </c>
      <c r="C39" s="88">
        <f>'2009年9月'!U39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'2009年9月'!U40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'2009年9月'!U41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'2009年9月'!U42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'2009年9月'!U43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'2009年9月'!U44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>
        <v>-84.96</v>
      </c>
      <c r="L44" s="84">
        <f t="shared" si="3"/>
        <v>0</v>
      </c>
      <c r="M44" s="86"/>
      <c r="N44" s="98"/>
      <c r="O44" s="84">
        <f t="shared" si="4"/>
        <v>0</v>
      </c>
      <c r="P44" s="129"/>
      <c r="Q44" s="138"/>
      <c r="R44" s="84">
        <f t="shared" si="5"/>
        <v>0</v>
      </c>
      <c r="S44" s="86"/>
      <c r="T44" s="87"/>
      <c r="U44" s="101">
        <f t="shared" si="6"/>
        <v>0</v>
      </c>
    </row>
    <row r="45" spans="1:21" ht="12.75">
      <c r="A45" s="2">
        <v>43</v>
      </c>
      <c r="B45" s="105" t="s">
        <v>231</v>
      </c>
      <c r="C45" s="60">
        <f>'2009年9月'!U45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'2009年9月'!U46</f>
        <v>64.5708</v>
      </c>
      <c r="D46" s="61">
        <v>1</v>
      </c>
      <c r="E46" s="99"/>
      <c r="F46" s="63">
        <f t="shared" si="1"/>
        <v>-14.2857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>
        <v>1</v>
      </c>
      <c r="Q46" s="137"/>
      <c r="R46" s="63">
        <f t="shared" si="5"/>
        <v>-3.2624</v>
      </c>
      <c r="S46" s="61"/>
      <c r="T46" s="65"/>
      <c r="U46" s="101">
        <f t="shared" si="6"/>
        <v>47.02270000000001</v>
      </c>
    </row>
    <row r="47" spans="1:21" ht="12.75">
      <c r="A47" s="2">
        <v>45</v>
      </c>
      <c r="B47" s="105" t="s">
        <v>232</v>
      </c>
      <c r="C47" s="60">
        <f>'2009年9月'!U47</f>
        <v>-20.617200000000025</v>
      </c>
      <c r="D47" s="66">
        <v>1</v>
      </c>
      <c r="E47" s="99"/>
      <c r="F47" s="63">
        <f t="shared" si="1"/>
        <v>-14.2857</v>
      </c>
      <c r="G47" s="66"/>
      <c r="H47" s="99"/>
      <c r="I47" s="63">
        <f t="shared" si="2"/>
        <v>0</v>
      </c>
      <c r="J47" s="66">
        <v>1</v>
      </c>
      <c r="K47" s="99"/>
      <c r="L47" s="63">
        <f t="shared" si="3"/>
        <v>-10</v>
      </c>
      <c r="M47" s="66">
        <v>1</v>
      </c>
      <c r="N47" s="99">
        <v>100</v>
      </c>
      <c r="O47" s="63">
        <f t="shared" si="4"/>
        <v>0</v>
      </c>
      <c r="P47" s="130">
        <v>2</v>
      </c>
      <c r="Q47" s="139"/>
      <c r="R47" s="63">
        <f t="shared" si="5"/>
        <v>-6.5248</v>
      </c>
      <c r="S47" s="66"/>
      <c r="T47" s="65"/>
      <c r="U47" s="101">
        <f t="shared" si="6"/>
        <v>48.57229999999998</v>
      </c>
    </row>
    <row r="48" spans="1:21" ht="12.75">
      <c r="A48" s="2">
        <v>46</v>
      </c>
      <c r="B48" s="102" t="s">
        <v>507</v>
      </c>
      <c r="C48" s="67">
        <f>'2009年9月'!U48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'2009年9月'!U49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>
        <v>2</v>
      </c>
      <c r="Q49" s="140">
        <v>100</v>
      </c>
      <c r="R49" s="70">
        <f t="shared" si="5"/>
        <v>-6.5248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509</v>
      </c>
      <c r="C50" s="67">
        <f>'2009年9月'!U50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'2009年9月'!U51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'2009年9月'!U52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'2009年9月'!U53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14.285714285714286</v>
      </c>
      <c r="G55" s="1">
        <f>SUM(G3:G53)</f>
        <v>14</v>
      </c>
      <c r="I55" s="1">
        <f>H66/G55</f>
        <v>14.285714285714286</v>
      </c>
      <c r="J55" s="1">
        <f>SUM(J3:J53)</f>
        <v>10</v>
      </c>
      <c r="L55" s="1">
        <f>K66/J55</f>
        <v>10</v>
      </c>
      <c r="M55" s="1">
        <f>SUM(M3:M53)</f>
        <v>12</v>
      </c>
      <c r="O55" s="1">
        <f>N66/M55</f>
        <v>0</v>
      </c>
      <c r="P55" s="1">
        <f>SUM(P3:P53)</f>
        <v>17</v>
      </c>
      <c r="R55" s="1">
        <f>Q66/P55</f>
        <v>3.2623529411764705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-199.9998</v>
      </c>
      <c r="H57" s="37" t="s">
        <v>235</v>
      </c>
      <c r="I57" s="1">
        <f>SUM(I3:I53)</f>
        <v>-199.99979999999996</v>
      </c>
      <c r="K57" s="37" t="s">
        <v>235</v>
      </c>
      <c r="L57" s="1">
        <f>SUM(L3:L53)</f>
        <v>-100</v>
      </c>
      <c r="N57" s="37" t="s">
        <v>235</v>
      </c>
      <c r="O57" s="1">
        <f>SUM(O3:O53)</f>
        <v>-100</v>
      </c>
      <c r="Q57" s="37" t="s">
        <v>235</v>
      </c>
      <c r="R57" s="1">
        <f>SUM(R3:R53)</f>
        <v>-100.00079999999998</v>
      </c>
      <c r="U57" s="24"/>
    </row>
    <row r="58" spans="2:21" ht="12.75">
      <c r="B58" s="41" t="s">
        <v>236</v>
      </c>
      <c r="C58" s="36">
        <f>SUM(C3:C53)</f>
        <v>1771.6135</v>
      </c>
      <c r="E58" s="41"/>
      <c r="H58" s="41"/>
      <c r="K58" s="41"/>
      <c r="N58" s="41"/>
      <c r="Q58" s="41"/>
      <c r="U58" s="24"/>
    </row>
    <row r="59" spans="19:23" ht="12.75">
      <c r="S59" s="151" t="s">
        <v>8</v>
      </c>
      <c r="T59" s="151"/>
      <c r="U59" s="56">
        <f>SUM(U3:U53)</f>
        <v>2349.9991999999997</v>
      </c>
      <c r="W59" s="121">
        <f>U59</f>
        <v>2349.9991999999997</v>
      </c>
    </row>
    <row r="60" spans="4:18" ht="12.75" customHeight="1">
      <c r="D60" s="155" t="s">
        <v>527</v>
      </c>
      <c r="E60" s="161"/>
      <c r="F60" s="162"/>
      <c r="G60" s="155" t="s">
        <v>528</v>
      </c>
      <c r="H60" s="161"/>
      <c r="I60" s="162"/>
      <c r="J60" s="155" t="s">
        <v>530</v>
      </c>
      <c r="K60" s="161"/>
      <c r="L60" s="162"/>
      <c r="M60" s="155" t="s">
        <v>543</v>
      </c>
      <c r="N60" s="161"/>
      <c r="O60" s="162"/>
      <c r="P60" s="155" t="s">
        <v>551</v>
      </c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200</v>
      </c>
      <c r="F66" s="51"/>
      <c r="G66" s="52" t="s">
        <v>238</v>
      </c>
      <c r="H66" s="50">
        <f>H68-H84-H93</f>
        <v>200</v>
      </c>
      <c r="I66" s="51"/>
      <c r="J66" s="52" t="s">
        <v>238</v>
      </c>
      <c r="K66" s="50">
        <f>K68-K84-K93</f>
        <v>100</v>
      </c>
      <c r="L66" s="51"/>
      <c r="M66" s="52" t="s">
        <v>238</v>
      </c>
      <c r="N66" s="50">
        <f>N68-N84-N93</f>
        <v>0</v>
      </c>
      <c r="O66" s="51"/>
      <c r="P66" s="52" t="s">
        <v>238</v>
      </c>
      <c r="Q66" s="50">
        <f>Q68-Q84-Q93</f>
        <v>55.46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200</v>
      </c>
      <c r="F68" s="55"/>
      <c r="G68" s="110" t="s">
        <v>237</v>
      </c>
      <c r="H68" s="54">
        <v>200</v>
      </c>
      <c r="I68" s="55"/>
      <c r="J68" s="110" t="s">
        <v>237</v>
      </c>
      <c r="K68" s="54">
        <v>100</v>
      </c>
      <c r="L68" s="55"/>
      <c r="M68" s="110" t="s">
        <v>237</v>
      </c>
      <c r="N68" s="54">
        <v>100</v>
      </c>
      <c r="O68" s="55"/>
      <c r="P68" s="110" t="s">
        <v>237</v>
      </c>
      <c r="Q68" s="54">
        <v>100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67"/>
      <c r="N72" s="167"/>
      <c r="O72" s="167"/>
      <c r="P72" s="167"/>
      <c r="Q72" s="167"/>
      <c r="R72" s="167"/>
    </row>
    <row r="74" spans="4:18" ht="12.75" customHeight="1">
      <c r="D74" s="149"/>
      <c r="E74" s="149"/>
      <c r="F74" s="149"/>
      <c r="G74" s="149" t="s">
        <v>531</v>
      </c>
      <c r="H74" s="149"/>
      <c r="I74" s="149"/>
      <c r="J74" s="149" t="s">
        <v>533</v>
      </c>
      <c r="K74" s="149"/>
      <c r="L74" s="149"/>
      <c r="M74" s="149" t="s">
        <v>548</v>
      </c>
      <c r="N74" s="149"/>
      <c r="O74" s="149"/>
      <c r="P74" s="149" t="s">
        <v>550</v>
      </c>
      <c r="Q74" s="149"/>
      <c r="R74" s="14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13.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4:18" ht="12.75" customHeight="1">
      <c r="D77" s="149"/>
      <c r="E77" s="149"/>
      <c r="F77" s="149"/>
      <c r="G77" s="149"/>
      <c r="H77" s="149"/>
      <c r="I77" s="149"/>
      <c r="J77" s="149" t="s">
        <v>532</v>
      </c>
      <c r="K77" s="149"/>
      <c r="L77" s="149"/>
      <c r="M77" s="149" t="s">
        <v>547</v>
      </c>
      <c r="N77" s="149"/>
      <c r="O77" s="149"/>
      <c r="P77" s="166" t="s">
        <v>553</v>
      </c>
      <c r="Q77" s="166"/>
      <c r="R77" s="166"/>
    </row>
    <row r="78" spans="4:18" ht="12.7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66"/>
      <c r="Q78" s="166"/>
      <c r="R78" s="166"/>
    </row>
    <row r="79" spans="4:18" ht="14.25" customHeight="1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66"/>
      <c r="Q79" s="166"/>
      <c r="R79" s="166"/>
    </row>
    <row r="80" spans="4:17" ht="12.75">
      <c r="D80" s="153" t="s">
        <v>239</v>
      </c>
      <c r="E80" s="154"/>
      <c r="G80" s="153" t="s">
        <v>239</v>
      </c>
      <c r="H80" s="154"/>
      <c r="J80" s="153" t="s">
        <v>239</v>
      </c>
      <c r="K80" s="154"/>
      <c r="M80" s="153" t="s">
        <v>239</v>
      </c>
      <c r="N80" s="154"/>
      <c r="P80" s="153" t="s">
        <v>239</v>
      </c>
      <c r="Q80" s="154"/>
    </row>
    <row r="81" spans="4:17" ht="12.75" customHeight="1">
      <c r="D81" s="37"/>
      <c r="G81" s="37"/>
      <c r="J81" s="37"/>
      <c r="M81" s="37" t="s">
        <v>544</v>
      </c>
      <c r="N81" s="1">
        <v>63.68</v>
      </c>
      <c r="P81" s="37" t="s">
        <v>56</v>
      </c>
      <c r="Q81" s="1">
        <v>10</v>
      </c>
    </row>
    <row r="82" spans="4:16" ht="12.75" customHeight="1">
      <c r="D82" s="107"/>
      <c r="G82" s="107"/>
      <c r="J82" s="107"/>
      <c r="M82" s="107" t="s">
        <v>545</v>
      </c>
      <c r="N82" s="1">
        <v>20.72</v>
      </c>
      <c r="P82" s="107"/>
    </row>
    <row r="83" spans="4:17" ht="12.75">
      <c r="D83" s="37"/>
      <c r="G83" s="37"/>
      <c r="J83" s="37"/>
      <c r="M83" s="37" t="s">
        <v>546</v>
      </c>
      <c r="N83" s="1">
        <v>15.6</v>
      </c>
      <c r="P83" s="37" t="s">
        <v>546</v>
      </c>
      <c r="Q83" s="1">
        <v>34.54</v>
      </c>
    </row>
    <row r="84" spans="5:17" ht="12.75">
      <c r="E84" s="37"/>
      <c r="H84" s="37"/>
      <c r="K84" s="37"/>
      <c r="N84" s="37">
        <f>SUM(N81:N83)</f>
        <v>100</v>
      </c>
      <c r="Q84" s="37">
        <f>SUM(Q81:Q83)</f>
        <v>44.54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240</v>
      </c>
      <c r="E87" s="154"/>
      <c r="G87" s="153" t="s">
        <v>240</v>
      </c>
      <c r="H87" s="154"/>
      <c r="J87" s="153" t="s">
        <v>240</v>
      </c>
      <c r="K87" s="154"/>
      <c r="M87" s="153" t="s">
        <v>240</v>
      </c>
      <c r="N87" s="154"/>
      <c r="P87" s="153" t="s">
        <v>240</v>
      </c>
      <c r="Q87" s="154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2" t="s">
        <v>514</v>
      </c>
      <c r="E95" s="152"/>
      <c r="F95" s="152"/>
      <c r="G95" s="152" t="s">
        <v>514</v>
      </c>
      <c r="H95" s="152"/>
      <c r="I95" s="152"/>
      <c r="J95" s="152" t="s">
        <v>514</v>
      </c>
      <c r="K95" s="152"/>
      <c r="L95" s="152"/>
      <c r="M95" s="152" t="s">
        <v>514</v>
      </c>
      <c r="N95" s="152"/>
      <c r="O95" s="152"/>
      <c r="P95" s="152" t="s">
        <v>514</v>
      </c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4:18" ht="12.75">
      <c r="D98" s="107"/>
      <c r="E98" s="37"/>
      <c r="F98" s="59"/>
      <c r="G98" s="107"/>
      <c r="H98" s="37"/>
      <c r="I98" s="59"/>
      <c r="J98" s="107"/>
      <c r="K98" s="37" t="s">
        <v>252</v>
      </c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6" t="s">
        <v>238</v>
      </c>
      <c r="E102" s="154"/>
      <c r="F102" s="154"/>
      <c r="G102" s="156" t="s">
        <v>238</v>
      </c>
      <c r="H102" s="154"/>
      <c r="I102" s="154"/>
      <c r="J102" s="156" t="s">
        <v>238</v>
      </c>
      <c r="K102" s="154"/>
      <c r="L102" s="154"/>
      <c r="M102" s="156" t="s">
        <v>238</v>
      </c>
      <c r="N102" s="154"/>
      <c r="O102" s="154"/>
      <c r="P102" s="156" t="s">
        <v>238</v>
      </c>
      <c r="Q102" s="154"/>
      <c r="R102" s="154"/>
    </row>
    <row r="103" spans="4:18" ht="12.75"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</row>
    <row r="104" spans="7:12" ht="12.75">
      <c r="G104" s="37"/>
      <c r="K104" s="153" t="s">
        <v>539</v>
      </c>
      <c r="L104" s="153"/>
    </row>
    <row r="105" spans="10:12" ht="12.75">
      <c r="J105" s="37" t="s">
        <v>534</v>
      </c>
      <c r="K105" s="153" t="s">
        <v>540</v>
      </c>
      <c r="L105" s="154"/>
    </row>
    <row r="106" spans="10:12" ht="12.75">
      <c r="J106" s="37" t="s">
        <v>535</v>
      </c>
      <c r="K106" s="153" t="s">
        <v>541</v>
      </c>
      <c r="L106" s="154"/>
    </row>
    <row r="107" spans="10:12" ht="12.75">
      <c r="J107" s="1" t="s">
        <v>536</v>
      </c>
      <c r="K107" s="153" t="s">
        <v>540</v>
      </c>
      <c r="L107" s="154"/>
    </row>
    <row r="108" spans="10:12" ht="12.75">
      <c r="J108" s="37" t="s">
        <v>537</v>
      </c>
      <c r="K108" s="153"/>
      <c r="L108" s="154"/>
    </row>
    <row r="109" spans="10:12" ht="12.75">
      <c r="J109" s="37" t="s">
        <v>97</v>
      </c>
      <c r="K109" s="153" t="s">
        <v>542</v>
      </c>
      <c r="L109" s="154"/>
    </row>
    <row r="110" spans="10:12" ht="12.75">
      <c r="J110" s="37" t="s">
        <v>538</v>
      </c>
      <c r="K110" s="153" t="s">
        <v>540</v>
      </c>
      <c r="L110" s="154"/>
    </row>
  </sheetData>
  <sheetProtection/>
  <mergeCells count="46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0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40138</v>
      </c>
      <c r="E1" s="158"/>
      <c r="F1" s="159"/>
      <c r="G1" s="18"/>
      <c r="H1" s="32">
        <v>40145</v>
      </c>
      <c r="I1" s="19"/>
      <c r="J1" s="44"/>
      <c r="K1" s="32">
        <v>40152</v>
      </c>
      <c r="L1" s="45"/>
      <c r="M1" s="18"/>
      <c r="N1" s="32">
        <v>40159</v>
      </c>
      <c r="O1" s="19"/>
      <c r="P1" s="18"/>
      <c r="Q1" s="32">
        <v>40166</v>
      </c>
      <c r="R1" s="19"/>
      <c r="S1" s="18"/>
      <c r="T1" s="111" t="s">
        <v>554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'2009年10月'!U3</f>
        <v>72.65469999999998</v>
      </c>
      <c r="D3" s="68">
        <v>1</v>
      </c>
      <c r="E3" s="69"/>
      <c r="F3" s="70">
        <f>-6.6667*D3</f>
        <v>-6.6667</v>
      </c>
      <c r="G3" s="68">
        <v>1</v>
      </c>
      <c r="H3" s="69"/>
      <c r="I3" s="70">
        <f>-2.1429*G3</f>
        <v>-2.1429</v>
      </c>
      <c r="J3" s="68">
        <v>1</v>
      </c>
      <c r="K3" s="69"/>
      <c r="L3" s="70">
        <f>-8.8235*J3</f>
        <v>-8.8235</v>
      </c>
      <c r="M3" s="68">
        <v>1</v>
      </c>
      <c r="N3" s="69"/>
      <c r="O3" s="70">
        <f>-10*M3</f>
        <v>-10</v>
      </c>
      <c r="P3" s="122">
        <v>1</v>
      </c>
      <c r="Q3" s="131"/>
      <c r="R3" s="70">
        <f>-3.5714*P3</f>
        <v>-3.5714</v>
      </c>
      <c r="S3" s="68"/>
      <c r="T3" s="72"/>
      <c r="U3" s="101">
        <f aca="true" t="shared" si="0" ref="U3:U34">C3+E3+F3+H3+I3+K3+L3+N3+O3+T3+Q3+R3</f>
        <v>41.45019999999998</v>
      </c>
    </row>
    <row r="4" spans="1:21" ht="12.75">
      <c r="A4" s="2">
        <v>2</v>
      </c>
      <c r="B4" s="100" t="s">
        <v>3</v>
      </c>
      <c r="C4" s="67">
        <f>'2009年10月'!U4</f>
        <v>-20.382500000000007</v>
      </c>
      <c r="D4" s="68">
        <v>1</v>
      </c>
      <c r="E4" s="69">
        <v>100</v>
      </c>
      <c r="F4" s="70">
        <f aca="true" t="shared" si="1" ref="F4:F53">-6.6667*D4</f>
        <v>-6.6667</v>
      </c>
      <c r="G4" s="68"/>
      <c r="H4" s="69"/>
      <c r="I4" s="70">
        <f aca="true" t="shared" si="2" ref="I4:I53">-2.1429*G4</f>
        <v>0</v>
      </c>
      <c r="J4" s="68"/>
      <c r="K4" s="69"/>
      <c r="L4" s="70">
        <f aca="true" t="shared" si="3" ref="L4:L53">-8.8235*J4</f>
        <v>0</v>
      </c>
      <c r="M4" s="68">
        <v>1</v>
      </c>
      <c r="N4" s="69"/>
      <c r="O4" s="70">
        <f aca="true" t="shared" si="4" ref="O4:O53">-10*M4</f>
        <v>-10</v>
      </c>
      <c r="P4" s="122"/>
      <c r="Q4" s="131"/>
      <c r="R4" s="70">
        <f aca="true" t="shared" si="5" ref="R4:R53">-3.5714*P4</f>
        <v>0</v>
      </c>
      <c r="S4" s="73"/>
      <c r="T4" s="72"/>
      <c r="U4" s="101">
        <f t="shared" si="0"/>
        <v>62.95079999999999</v>
      </c>
    </row>
    <row r="5" spans="1:21" ht="12.75">
      <c r="A5" s="2">
        <v>3</v>
      </c>
      <c r="B5" s="102" t="s">
        <v>555</v>
      </c>
      <c r="C5" s="67">
        <f>'2009年10月'!U5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556</v>
      </c>
      <c r="C6" s="74">
        <f>'2009年10月'!U6</f>
        <v>57.20720000000001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-8.8235</v>
      </c>
      <c r="M6" s="80">
        <v>1</v>
      </c>
      <c r="N6" s="76"/>
      <c r="O6" s="77">
        <f t="shared" si="4"/>
        <v>-10</v>
      </c>
      <c r="P6" s="123">
        <v>1</v>
      </c>
      <c r="Q6" s="132"/>
      <c r="R6" s="77">
        <f t="shared" si="5"/>
        <v>-3.5714</v>
      </c>
      <c r="S6" s="80"/>
      <c r="T6" s="79"/>
      <c r="U6" s="101">
        <f t="shared" si="0"/>
        <v>34.81230000000001</v>
      </c>
      <c r="W6" s="37"/>
    </row>
    <row r="7" spans="1:21" ht="12.75">
      <c r="A7" s="2">
        <v>5</v>
      </c>
      <c r="B7" s="103" t="s">
        <v>557</v>
      </c>
      <c r="C7" s="74">
        <f>'2009年10月'!U7</f>
        <v>68.67660000000001</v>
      </c>
      <c r="D7" s="75">
        <v>1</v>
      </c>
      <c r="E7" s="76"/>
      <c r="F7" s="77">
        <f t="shared" si="1"/>
        <v>-6.6667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-8.8235</v>
      </c>
      <c r="M7" s="75">
        <v>1</v>
      </c>
      <c r="N7" s="76"/>
      <c r="O7" s="77">
        <f t="shared" si="4"/>
        <v>-10</v>
      </c>
      <c r="P7" s="124"/>
      <c r="Q7" s="133"/>
      <c r="R7" s="77">
        <f t="shared" si="5"/>
        <v>0</v>
      </c>
      <c r="S7" s="75"/>
      <c r="T7" s="79"/>
      <c r="U7" s="101">
        <f t="shared" si="0"/>
        <v>43.186400000000006</v>
      </c>
    </row>
    <row r="8" spans="1:21" ht="12.75">
      <c r="A8" s="2">
        <v>6</v>
      </c>
      <c r="B8" s="103" t="s">
        <v>558</v>
      </c>
      <c r="C8" s="74">
        <f>'2009年10月'!U8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609</v>
      </c>
      <c r="C9" s="88">
        <f>'2009年10月'!U9</f>
        <v>0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>
        <v>2</v>
      </c>
      <c r="N9" s="90">
        <v>100</v>
      </c>
      <c r="O9" s="91">
        <f t="shared" si="4"/>
        <v>-20</v>
      </c>
      <c r="P9" s="125">
        <v>1</v>
      </c>
      <c r="Q9" s="134"/>
      <c r="R9" s="91">
        <f t="shared" si="5"/>
        <v>-3.5714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49</v>
      </c>
      <c r="C10" s="88">
        <f>'2009年10月'!U10</f>
        <v>0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50</v>
      </c>
      <c r="C11" s="88">
        <f>'2009年10月'!U11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559</v>
      </c>
      <c r="C12" s="81">
        <f>'2009年10月'!U12</f>
        <v>72.4519</v>
      </c>
      <c r="D12" s="82">
        <v>1</v>
      </c>
      <c r="E12" s="83"/>
      <c r="F12" s="84">
        <f t="shared" si="1"/>
        <v>-6.6667</v>
      </c>
      <c r="G12" s="82"/>
      <c r="H12" s="83"/>
      <c r="I12" s="84">
        <f t="shared" si="2"/>
        <v>0</v>
      </c>
      <c r="J12" s="82">
        <v>1</v>
      </c>
      <c r="K12" s="83"/>
      <c r="L12" s="84">
        <f t="shared" si="3"/>
        <v>-8.8235</v>
      </c>
      <c r="M12" s="82">
        <v>1</v>
      </c>
      <c r="N12" s="83"/>
      <c r="O12" s="84">
        <f t="shared" si="4"/>
        <v>-10</v>
      </c>
      <c r="P12" s="127">
        <v>1</v>
      </c>
      <c r="Q12" s="136"/>
      <c r="R12" s="84">
        <f t="shared" si="5"/>
        <v>-3.5714</v>
      </c>
      <c r="S12" s="82"/>
      <c r="T12" s="87"/>
      <c r="U12" s="101">
        <f t="shared" si="0"/>
        <v>43.390299999999996</v>
      </c>
    </row>
    <row r="13" spans="1:21" ht="12.75">
      <c r="A13" s="2">
        <v>11</v>
      </c>
      <c r="B13" s="104" t="s">
        <v>52</v>
      </c>
      <c r="C13" s="81">
        <f>'2009年10月'!U13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560</v>
      </c>
      <c r="C14" s="81">
        <f>'2009年10月'!U14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53</v>
      </c>
      <c r="C15" s="60">
        <f>'2009年10月'!U15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54</v>
      </c>
      <c r="C16" s="60">
        <f>'2009年10月'!U16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561</v>
      </c>
      <c r="C17" s="60">
        <f>'2009年10月'!U17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562</v>
      </c>
      <c r="C18" s="67">
        <f>'2009年10月'!U18</f>
        <v>59.367799999999974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-3.5714</v>
      </c>
      <c r="S18" s="68"/>
      <c r="T18" s="72"/>
      <c r="U18" s="101">
        <f t="shared" si="0"/>
        <v>55.79639999999998</v>
      </c>
    </row>
    <row r="19" spans="1:23" ht="12.75">
      <c r="A19" s="2">
        <v>17</v>
      </c>
      <c r="B19" s="102" t="s">
        <v>131</v>
      </c>
      <c r="C19" s="67">
        <f>'2009年10月'!U19</f>
        <v>25.198700000000017</v>
      </c>
      <c r="D19" s="68">
        <v>1</v>
      </c>
      <c r="E19" s="69"/>
      <c r="F19" s="70">
        <f t="shared" si="1"/>
        <v>-6.6667</v>
      </c>
      <c r="G19" s="68">
        <v>2</v>
      </c>
      <c r="H19" s="69"/>
      <c r="I19" s="70">
        <f t="shared" si="2"/>
        <v>-4.2858</v>
      </c>
      <c r="J19" s="68">
        <v>1</v>
      </c>
      <c r="K19" s="69"/>
      <c r="L19" s="70">
        <f t="shared" si="3"/>
        <v>-8.8235</v>
      </c>
      <c r="M19" s="68">
        <v>1</v>
      </c>
      <c r="N19" s="69"/>
      <c r="O19" s="70">
        <f t="shared" si="4"/>
        <v>-10</v>
      </c>
      <c r="P19" s="122"/>
      <c r="Q19" s="131"/>
      <c r="R19" s="70">
        <f t="shared" si="5"/>
        <v>0</v>
      </c>
      <c r="S19" s="73"/>
      <c r="T19" s="72"/>
      <c r="U19" s="101">
        <f t="shared" si="0"/>
        <v>-4.5772999999999815</v>
      </c>
      <c r="W19" s="37"/>
    </row>
    <row r="20" spans="1:21" ht="12.75">
      <c r="A20" s="2">
        <v>18</v>
      </c>
      <c r="B20" s="102" t="s">
        <v>132</v>
      </c>
      <c r="C20" s="67">
        <f>'2009年10月'!U20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563</v>
      </c>
      <c r="C21" s="74">
        <f>'2009年10月'!U21</f>
        <v>100</v>
      </c>
      <c r="D21" s="75">
        <v>1</v>
      </c>
      <c r="E21" s="76"/>
      <c r="F21" s="77">
        <f t="shared" si="1"/>
        <v>-6.6667</v>
      </c>
      <c r="G21" s="75">
        <v>1</v>
      </c>
      <c r="H21" s="76"/>
      <c r="I21" s="77">
        <f t="shared" si="2"/>
        <v>-2.1429</v>
      </c>
      <c r="J21" s="75">
        <v>1</v>
      </c>
      <c r="K21" s="76"/>
      <c r="L21" s="77">
        <f t="shared" si="3"/>
        <v>-8.8235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82.3669</v>
      </c>
    </row>
    <row r="22" spans="1:21" ht="12.75">
      <c r="A22" s="2">
        <v>20</v>
      </c>
      <c r="B22" s="103" t="s">
        <v>564</v>
      </c>
      <c r="C22" s="74">
        <f>'2009年10月'!U22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565</v>
      </c>
      <c r="C23" s="74">
        <f>'2009年10月'!U23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-17.647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76.75</v>
      </c>
    </row>
    <row r="24" spans="1:21" ht="12.75">
      <c r="A24" s="2">
        <v>22</v>
      </c>
      <c r="B24" s="106" t="s">
        <v>566</v>
      </c>
      <c r="C24" s="88">
        <f>'2009年10月'!U24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567</v>
      </c>
      <c r="C25" s="88">
        <f>'2009年10月'!U25</f>
        <v>59.26240000000001</v>
      </c>
      <c r="D25" s="89">
        <v>1</v>
      </c>
      <c r="E25" s="90"/>
      <c r="F25" s="91">
        <f t="shared" si="1"/>
        <v>-6.6667</v>
      </c>
      <c r="G25" s="89">
        <v>1</v>
      </c>
      <c r="H25" s="90"/>
      <c r="I25" s="91">
        <f t="shared" si="2"/>
        <v>-2.1429</v>
      </c>
      <c r="J25" s="89">
        <v>1</v>
      </c>
      <c r="K25" s="90"/>
      <c r="L25" s="91">
        <f t="shared" si="3"/>
        <v>-8.8235</v>
      </c>
      <c r="M25" s="89">
        <v>1</v>
      </c>
      <c r="N25" s="90"/>
      <c r="O25" s="91">
        <f t="shared" si="4"/>
        <v>-10</v>
      </c>
      <c r="P25" s="125"/>
      <c r="Q25" s="134"/>
      <c r="R25" s="91">
        <f t="shared" si="5"/>
        <v>0</v>
      </c>
      <c r="S25" s="89"/>
      <c r="T25" s="93"/>
      <c r="U25" s="101">
        <f t="shared" si="0"/>
        <v>31.629300000000015</v>
      </c>
    </row>
    <row r="26" spans="1:21" ht="12.75">
      <c r="A26" s="2">
        <v>24</v>
      </c>
      <c r="B26" s="106" t="s">
        <v>568</v>
      </c>
      <c r="C26" s="88">
        <f>'2009年10月'!U26</f>
        <v>23.850400000000008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-2.1429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21.707500000000007</v>
      </c>
    </row>
    <row r="27" spans="1:21" ht="12.75">
      <c r="A27" s="2">
        <v>25</v>
      </c>
      <c r="B27" s="104" t="s">
        <v>486</v>
      </c>
      <c r="C27" s="81">
        <f>'2009年10月'!U27</f>
        <v>0</v>
      </c>
      <c r="D27" s="82">
        <v>1</v>
      </c>
      <c r="E27" s="98">
        <v>100</v>
      </c>
      <c r="F27" s="84">
        <f t="shared" si="1"/>
        <v>-6.6667</v>
      </c>
      <c r="G27" s="82">
        <v>1</v>
      </c>
      <c r="H27" s="98"/>
      <c r="I27" s="84">
        <f t="shared" si="2"/>
        <v>-2.1429</v>
      </c>
      <c r="J27" s="82">
        <v>1</v>
      </c>
      <c r="K27" s="98"/>
      <c r="L27" s="84">
        <f t="shared" si="3"/>
        <v>-8.8235</v>
      </c>
      <c r="M27" s="82"/>
      <c r="N27" s="98"/>
      <c r="O27" s="84">
        <f t="shared" si="4"/>
        <v>0</v>
      </c>
      <c r="P27" s="127">
        <v>3</v>
      </c>
      <c r="Q27" s="136"/>
      <c r="R27" s="84">
        <f t="shared" si="5"/>
        <v>-10.7142</v>
      </c>
      <c r="S27" s="82"/>
      <c r="T27" s="87"/>
      <c r="U27" s="101">
        <f t="shared" si="0"/>
        <v>71.6527</v>
      </c>
    </row>
    <row r="28" spans="1:21" ht="12.75">
      <c r="A28" s="2">
        <v>26</v>
      </c>
      <c r="B28" s="104" t="s">
        <v>569</v>
      </c>
      <c r="C28" s="81">
        <f>'2009年10月'!U28</f>
        <v>77.9767</v>
      </c>
      <c r="D28" s="86">
        <v>1</v>
      </c>
      <c r="E28" s="98"/>
      <c r="F28" s="84">
        <f t="shared" si="1"/>
        <v>-6.6667</v>
      </c>
      <c r="G28" s="86">
        <v>1</v>
      </c>
      <c r="H28" s="98"/>
      <c r="I28" s="84">
        <f t="shared" si="2"/>
        <v>-2.1429</v>
      </c>
      <c r="J28" s="86">
        <v>1</v>
      </c>
      <c r="K28" s="98"/>
      <c r="L28" s="84">
        <f t="shared" si="3"/>
        <v>-8.8235</v>
      </c>
      <c r="M28" s="86">
        <v>1</v>
      </c>
      <c r="N28" s="98"/>
      <c r="O28" s="84">
        <f t="shared" si="4"/>
        <v>-10</v>
      </c>
      <c r="P28" s="129">
        <v>1</v>
      </c>
      <c r="Q28" s="138"/>
      <c r="R28" s="84">
        <f t="shared" si="5"/>
        <v>-3.5714</v>
      </c>
      <c r="S28" s="86"/>
      <c r="T28" s="87"/>
      <c r="U28" s="101">
        <f t="shared" si="0"/>
        <v>46.7722</v>
      </c>
    </row>
    <row r="29" spans="1:21" ht="12.75">
      <c r="A29" s="2">
        <v>27</v>
      </c>
      <c r="B29" s="104" t="s">
        <v>570</v>
      </c>
      <c r="C29" s="81">
        <f>'2009年10月'!U29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571</v>
      </c>
      <c r="C30" s="60">
        <f>'2009年10月'!U30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572</v>
      </c>
      <c r="C31" s="60">
        <f>'2009年10月'!U31</f>
        <v>-13.748600000000007</v>
      </c>
      <c r="D31" s="61">
        <v>1</v>
      </c>
      <c r="E31" s="99">
        <v>100</v>
      </c>
      <c r="F31" s="63">
        <f t="shared" si="1"/>
        <v>-6.6667</v>
      </c>
      <c r="G31" s="61">
        <v>1</v>
      </c>
      <c r="H31" s="99"/>
      <c r="I31" s="63">
        <f t="shared" si="2"/>
        <v>-2.1429</v>
      </c>
      <c r="J31" s="61">
        <v>1</v>
      </c>
      <c r="K31" s="99"/>
      <c r="L31" s="63">
        <f t="shared" si="3"/>
        <v>-8.8235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68.61829999999999</v>
      </c>
    </row>
    <row r="32" spans="1:21" ht="12.75">
      <c r="A32" s="2">
        <v>30</v>
      </c>
      <c r="B32" s="105" t="s">
        <v>573</v>
      </c>
      <c r="C32" s="60">
        <f>'2009年10月'!U32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574</v>
      </c>
      <c r="C33" s="67">
        <f>'2009年10月'!U33</f>
        <v>68.51729999999999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575</v>
      </c>
      <c r="C34" s="67">
        <f>'2009年10月'!U34</f>
        <v>97.8805</v>
      </c>
      <c r="D34" s="68">
        <v>1</v>
      </c>
      <c r="E34" s="69"/>
      <c r="F34" s="70">
        <f t="shared" si="1"/>
        <v>-6.6667</v>
      </c>
      <c r="G34" s="120">
        <v>1</v>
      </c>
      <c r="H34" s="69"/>
      <c r="I34" s="70">
        <f>-2.1429*G34-10</f>
        <v>-12.142900000000001</v>
      </c>
      <c r="J34" s="120">
        <v>1</v>
      </c>
      <c r="K34" s="69"/>
      <c r="L34" s="70">
        <f t="shared" si="3"/>
        <v>-8.8235</v>
      </c>
      <c r="M34" s="68">
        <v>1</v>
      </c>
      <c r="N34" s="69"/>
      <c r="O34" s="70">
        <f t="shared" si="4"/>
        <v>-10</v>
      </c>
      <c r="P34" s="122">
        <v>1</v>
      </c>
      <c r="Q34" s="131"/>
      <c r="R34" s="70">
        <f t="shared" si="5"/>
        <v>-3.5714</v>
      </c>
      <c r="S34" s="73"/>
      <c r="T34" s="72"/>
      <c r="U34" s="101">
        <f t="shared" si="0"/>
        <v>56.676</v>
      </c>
    </row>
    <row r="35" spans="1:21" ht="12.75">
      <c r="A35" s="2">
        <v>33</v>
      </c>
      <c r="B35" s="102" t="s">
        <v>576</v>
      </c>
      <c r="C35" s="67">
        <f>'2009年10月'!U35</f>
        <v>94.85280000000002</v>
      </c>
      <c r="D35" s="68">
        <v>1</v>
      </c>
      <c r="E35" s="69"/>
      <c r="F35" s="70">
        <f t="shared" si="1"/>
        <v>-6.6667</v>
      </c>
      <c r="G35" s="68">
        <v>1</v>
      </c>
      <c r="H35" s="69"/>
      <c r="I35" s="70">
        <f t="shared" si="2"/>
        <v>-2.1429</v>
      </c>
      <c r="J35" s="68">
        <v>1</v>
      </c>
      <c r="K35" s="69"/>
      <c r="L35" s="70">
        <f t="shared" si="3"/>
        <v>-8.8235</v>
      </c>
      <c r="M35" s="68"/>
      <c r="N35" s="69"/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77.21970000000002</v>
      </c>
    </row>
    <row r="36" spans="1:21" ht="12.75">
      <c r="A36" s="2">
        <v>34</v>
      </c>
      <c r="B36" s="103" t="s">
        <v>577</v>
      </c>
      <c r="C36" s="74">
        <f>'2009年10月'!U36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578</v>
      </c>
      <c r="C37" s="74">
        <f>'2009年10月'!U37</f>
        <v>81.33109999999999</v>
      </c>
      <c r="D37" s="75">
        <v>1</v>
      </c>
      <c r="E37" s="76"/>
      <c r="F37" s="77">
        <f t="shared" si="1"/>
        <v>-6.6667</v>
      </c>
      <c r="G37" s="75">
        <v>1</v>
      </c>
      <c r="H37" s="76"/>
      <c r="I37" s="77">
        <f t="shared" si="2"/>
        <v>-2.1429</v>
      </c>
      <c r="J37" s="75">
        <v>1</v>
      </c>
      <c r="K37" s="76"/>
      <c r="L37" s="77">
        <f t="shared" si="3"/>
        <v>-8.8235</v>
      </c>
      <c r="M37" s="75">
        <v>1</v>
      </c>
      <c r="N37" s="76"/>
      <c r="O37" s="77">
        <f t="shared" si="4"/>
        <v>-10</v>
      </c>
      <c r="P37" s="124">
        <v>1</v>
      </c>
      <c r="Q37" s="133"/>
      <c r="R37" s="77">
        <f t="shared" si="5"/>
        <v>-3.5714</v>
      </c>
      <c r="S37" s="75"/>
      <c r="T37" s="79"/>
      <c r="U37" s="101">
        <f t="shared" si="6"/>
        <v>50.126599999999996</v>
      </c>
      <c r="V37" s="37"/>
    </row>
    <row r="38" spans="1:21" ht="12.75">
      <c r="A38" s="2">
        <v>36</v>
      </c>
      <c r="B38" s="103" t="s">
        <v>579</v>
      </c>
      <c r="C38" s="74">
        <f>'2009年10月'!U38</f>
        <v>9.293000000000001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/>
      <c r="K38" s="76"/>
      <c r="L38" s="77">
        <f t="shared" si="3"/>
        <v>0</v>
      </c>
      <c r="M38" s="75">
        <v>1</v>
      </c>
      <c r="N38" s="76"/>
      <c r="O38" s="77">
        <f t="shared" si="4"/>
        <v>-10</v>
      </c>
      <c r="P38" s="124">
        <v>1</v>
      </c>
      <c r="Q38" s="133"/>
      <c r="R38" s="77">
        <f t="shared" si="5"/>
        <v>-3.5714</v>
      </c>
      <c r="S38" s="80"/>
      <c r="T38" s="79"/>
      <c r="U38" s="101">
        <f t="shared" si="6"/>
        <v>-4.2783999999999995</v>
      </c>
    </row>
    <row r="39" spans="1:21" ht="12.75">
      <c r="A39" s="2">
        <v>37</v>
      </c>
      <c r="B39" s="106" t="s">
        <v>580</v>
      </c>
      <c r="C39" s="88">
        <f>'2009年10月'!U39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581</v>
      </c>
      <c r="C40" s="88">
        <f>'2009年10月'!U40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582</v>
      </c>
      <c r="C41" s="88">
        <f>'2009年10月'!U41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583</v>
      </c>
      <c r="C42" s="81">
        <f>'2009年10月'!U42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584</v>
      </c>
      <c r="C43" s="81">
        <f>'2009年10月'!U43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608</v>
      </c>
      <c r="C44" s="81">
        <f>'2009年10月'!U44</f>
        <v>0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>
        <v>1</v>
      </c>
      <c r="N44" s="98">
        <v>100</v>
      </c>
      <c r="O44" s="84">
        <f t="shared" si="4"/>
        <v>-10</v>
      </c>
      <c r="P44" s="129">
        <v>1</v>
      </c>
      <c r="Q44" s="138"/>
      <c r="R44" s="84">
        <f t="shared" si="5"/>
        <v>-3.5714</v>
      </c>
      <c r="S44" s="86"/>
      <c r="T44" s="87"/>
      <c r="U44" s="101">
        <f t="shared" si="6"/>
        <v>86.4286</v>
      </c>
    </row>
    <row r="45" spans="1:21" ht="12.75">
      <c r="A45" s="2">
        <v>43</v>
      </c>
      <c r="B45" s="105" t="s">
        <v>585</v>
      </c>
      <c r="C45" s="60">
        <f>'2009年10月'!U45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'2009年10月'!U46</f>
        <v>47.02270000000001</v>
      </c>
      <c r="D46" s="61">
        <v>1</v>
      </c>
      <c r="E46" s="99"/>
      <c r="F46" s="63">
        <f t="shared" si="1"/>
        <v>-6.6667</v>
      </c>
      <c r="G46" s="61">
        <v>1</v>
      </c>
      <c r="H46" s="99"/>
      <c r="I46" s="63">
        <f t="shared" si="2"/>
        <v>-2.1429</v>
      </c>
      <c r="J46" s="61">
        <v>1</v>
      </c>
      <c r="K46" s="99"/>
      <c r="L46" s="63">
        <f t="shared" si="3"/>
        <v>-8.8235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29.389600000000012</v>
      </c>
    </row>
    <row r="47" spans="1:21" ht="12.75">
      <c r="A47" s="2">
        <v>45</v>
      </c>
      <c r="B47" s="105" t="s">
        <v>586</v>
      </c>
      <c r="C47" s="60">
        <f>'2009年10月'!U47</f>
        <v>48.57229999999998</v>
      </c>
      <c r="D47" s="66">
        <v>1</v>
      </c>
      <c r="E47" s="99"/>
      <c r="F47" s="63">
        <f t="shared" si="1"/>
        <v>-6.6667</v>
      </c>
      <c r="G47" s="66">
        <v>1</v>
      </c>
      <c r="H47" s="99"/>
      <c r="I47" s="63">
        <f t="shared" si="2"/>
        <v>-2.1429</v>
      </c>
      <c r="J47" s="66">
        <v>1</v>
      </c>
      <c r="K47" s="99"/>
      <c r="L47" s="63">
        <f t="shared" si="3"/>
        <v>-8.8235</v>
      </c>
      <c r="M47" s="66">
        <v>1</v>
      </c>
      <c r="N47" s="99"/>
      <c r="O47" s="63">
        <f t="shared" si="4"/>
        <v>-10</v>
      </c>
      <c r="P47" s="130">
        <v>1</v>
      </c>
      <c r="Q47" s="139"/>
      <c r="R47" s="63">
        <f t="shared" si="5"/>
        <v>-3.5714</v>
      </c>
      <c r="S47" s="66"/>
      <c r="T47" s="65"/>
      <c r="U47" s="101">
        <f t="shared" si="6"/>
        <v>17.36779999999998</v>
      </c>
    </row>
    <row r="48" spans="1:21" ht="12.75">
      <c r="A48" s="2">
        <v>46</v>
      </c>
      <c r="B48" s="102" t="s">
        <v>587</v>
      </c>
      <c r="C48" s="67">
        <f>'2009年10月'!U48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588</v>
      </c>
      <c r="C49" s="67">
        <f>'2009年10月'!U49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589</v>
      </c>
      <c r="C50" s="67">
        <f>'2009年10月'!U50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590</v>
      </c>
      <c r="C51" s="74">
        <f>'2009年10月'!U51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591</v>
      </c>
      <c r="C52" s="74">
        <f>'2009年10月'!U52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'2009年10月'!U53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15</v>
      </c>
      <c r="F55" s="1">
        <f>E66/D55</f>
        <v>6.666666666666667</v>
      </c>
      <c r="G55" s="1">
        <f>SUM(G3:G53)</f>
        <v>14</v>
      </c>
      <c r="I55" s="1">
        <f>H66/G55</f>
        <v>2.142857142857143</v>
      </c>
      <c r="J55" s="1">
        <f>SUM(J3:J53)</f>
        <v>17</v>
      </c>
      <c r="L55" s="1">
        <f>K66/J55</f>
        <v>8.823529411764707</v>
      </c>
      <c r="M55" s="1">
        <f>SUM(M3:M53)</f>
        <v>15</v>
      </c>
      <c r="O55" s="1">
        <f>N66/M55</f>
        <v>10</v>
      </c>
      <c r="P55" s="1">
        <f>SUM(P3:P53)</f>
        <v>14</v>
      </c>
      <c r="R55" s="1">
        <f>Q66/P55</f>
        <v>3.5714285714285716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592</v>
      </c>
      <c r="F56" s="48" t="s">
        <v>593</v>
      </c>
      <c r="G56" s="47" t="s">
        <v>592</v>
      </c>
      <c r="I56" s="48" t="s">
        <v>593</v>
      </c>
      <c r="J56" s="47" t="s">
        <v>592</v>
      </c>
      <c r="L56" s="48" t="s">
        <v>593</v>
      </c>
      <c r="M56" s="47" t="s">
        <v>592</v>
      </c>
      <c r="O56" s="48" t="s">
        <v>593</v>
      </c>
      <c r="P56" s="47" t="s">
        <v>592</v>
      </c>
      <c r="R56" s="48" t="s">
        <v>593</v>
      </c>
    </row>
    <row r="57" spans="5:21" ht="12.75">
      <c r="E57" s="37" t="s">
        <v>594</v>
      </c>
      <c r="F57" s="1">
        <f>SUM(F3:F53)</f>
        <v>-100.00050000000003</v>
      </c>
      <c r="H57" s="37" t="s">
        <v>594</v>
      </c>
      <c r="I57" s="1">
        <f>SUM(I3:I53)</f>
        <v>-40.0006</v>
      </c>
      <c r="K57" s="37" t="s">
        <v>594</v>
      </c>
      <c r="L57" s="1">
        <f>SUM(L3:L53)</f>
        <v>-149.99949999999995</v>
      </c>
      <c r="N57" s="37" t="s">
        <v>594</v>
      </c>
      <c r="O57" s="1">
        <f>SUM(O3:O53)</f>
        <v>-150</v>
      </c>
      <c r="Q57" s="37" t="s">
        <v>594</v>
      </c>
      <c r="R57" s="1">
        <f>SUM(R3:R53)</f>
        <v>-49.99959999999998</v>
      </c>
      <c r="U57" s="24"/>
    </row>
    <row r="58" spans="2:21" ht="12.75">
      <c r="B58" s="41" t="s">
        <v>595</v>
      </c>
      <c r="C58" s="36">
        <f>SUM(C3:C53)</f>
        <v>2349.9991999999997</v>
      </c>
      <c r="E58" s="41"/>
      <c r="H58" s="41"/>
      <c r="K58" s="41"/>
      <c r="N58" s="41"/>
      <c r="Q58" s="41"/>
      <c r="U58" s="24"/>
    </row>
    <row r="59" spans="19:23" ht="12.75">
      <c r="S59" s="151" t="s">
        <v>8</v>
      </c>
      <c r="T59" s="151"/>
      <c r="U59" s="56">
        <f>SUM(U3:U53)</f>
        <v>2359.9990000000007</v>
      </c>
      <c r="W59" s="121">
        <f>U59</f>
        <v>2359.9990000000007</v>
      </c>
    </row>
    <row r="60" spans="4:18" ht="12.75" customHeight="1">
      <c r="D60" s="155" t="s">
        <v>601</v>
      </c>
      <c r="E60" s="161"/>
      <c r="F60" s="162"/>
      <c r="G60" s="155" t="s">
        <v>601</v>
      </c>
      <c r="H60" s="161"/>
      <c r="I60" s="162"/>
      <c r="J60" s="155" t="s">
        <v>604</v>
      </c>
      <c r="K60" s="161"/>
      <c r="L60" s="162"/>
      <c r="M60" s="155" t="s">
        <v>605</v>
      </c>
      <c r="N60" s="161"/>
      <c r="O60" s="162"/>
      <c r="P60" s="155" t="s">
        <v>611</v>
      </c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596</v>
      </c>
      <c r="E66" s="50">
        <f>E68-E84-E93</f>
        <v>100</v>
      </c>
      <c r="F66" s="51"/>
      <c r="G66" s="52" t="s">
        <v>596</v>
      </c>
      <c r="H66" s="50">
        <f>H68-H84-H93</f>
        <v>30</v>
      </c>
      <c r="I66" s="51"/>
      <c r="J66" s="52" t="s">
        <v>596</v>
      </c>
      <c r="K66" s="50">
        <f>K68-K84-K93</f>
        <v>150</v>
      </c>
      <c r="L66" s="51"/>
      <c r="M66" s="52" t="s">
        <v>596</v>
      </c>
      <c r="N66" s="50">
        <f>N68-N84-N93</f>
        <v>150</v>
      </c>
      <c r="O66" s="51"/>
      <c r="P66" s="52" t="s">
        <v>596</v>
      </c>
      <c r="Q66" s="50">
        <f>Q68-Q84-Q93</f>
        <v>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597</v>
      </c>
      <c r="E68" s="54">
        <v>100</v>
      </c>
      <c r="F68" s="55"/>
      <c r="G68" s="110" t="s">
        <v>597</v>
      </c>
      <c r="H68" s="54">
        <v>40</v>
      </c>
      <c r="I68" s="55"/>
      <c r="J68" s="110" t="s">
        <v>597</v>
      </c>
      <c r="K68" s="54">
        <v>150</v>
      </c>
      <c r="L68" s="55"/>
      <c r="M68" s="110" t="s">
        <v>597</v>
      </c>
      <c r="N68" s="54">
        <v>150</v>
      </c>
      <c r="O68" s="55"/>
      <c r="P68" s="110" t="s">
        <v>597</v>
      </c>
      <c r="Q68" s="54">
        <v>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67"/>
      <c r="N72" s="167"/>
      <c r="O72" s="167"/>
      <c r="P72" s="167"/>
      <c r="Q72" s="167"/>
      <c r="R72" s="167"/>
    </row>
    <row r="74" spans="4:18" ht="12.75" customHeight="1">
      <c r="D74" s="149" t="s">
        <v>602</v>
      </c>
      <c r="E74" s="149"/>
      <c r="F74" s="149"/>
      <c r="G74" s="149"/>
      <c r="H74" s="149"/>
      <c r="I74" s="149"/>
      <c r="J74" s="149"/>
      <c r="K74" s="149"/>
      <c r="L74" s="149"/>
      <c r="M74" s="149" t="s">
        <v>607</v>
      </c>
      <c r="N74" s="149"/>
      <c r="O74" s="149"/>
      <c r="P74" s="149" t="s">
        <v>610</v>
      </c>
      <c r="Q74" s="149"/>
      <c r="R74" s="14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13.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4:18" ht="12.75" customHeight="1">
      <c r="D77" s="149"/>
      <c r="E77" s="149"/>
      <c r="F77" s="149"/>
      <c r="G77" s="149"/>
      <c r="H77" s="149"/>
      <c r="I77" s="149"/>
      <c r="J77" s="149"/>
      <c r="K77" s="149"/>
      <c r="L77" s="149"/>
      <c r="M77" s="149" t="s">
        <v>606</v>
      </c>
      <c r="N77" s="149"/>
      <c r="O77" s="149"/>
      <c r="P77" s="166"/>
      <c r="Q77" s="166"/>
      <c r="R77" s="166"/>
    </row>
    <row r="78" spans="4:18" ht="12.7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66"/>
      <c r="Q78" s="166"/>
      <c r="R78" s="166"/>
    </row>
    <row r="79" spans="4:18" ht="14.25" customHeight="1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66"/>
      <c r="Q79" s="166"/>
      <c r="R79" s="166"/>
    </row>
    <row r="80" spans="4:17" ht="12.75">
      <c r="D80" s="153" t="s">
        <v>598</v>
      </c>
      <c r="E80" s="154"/>
      <c r="G80" s="153" t="s">
        <v>598</v>
      </c>
      <c r="H80" s="154"/>
      <c r="J80" s="153" t="s">
        <v>598</v>
      </c>
      <c r="K80" s="154"/>
      <c r="M80" s="153" t="s">
        <v>598</v>
      </c>
      <c r="N80" s="154"/>
      <c r="P80" s="153" t="s">
        <v>598</v>
      </c>
      <c r="Q80" s="154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599</v>
      </c>
      <c r="E87" s="154"/>
      <c r="G87" s="153" t="s">
        <v>599</v>
      </c>
      <c r="H87" s="154"/>
      <c r="J87" s="153" t="s">
        <v>599</v>
      </c>
      <c r="K87" s="154"/>
      <c r="M87" s="153" t="s">
        <v>599</v>
      </c>
      <c r="N87" s="154"/>
      <c r="P87" s="153" t="s">
        <v>599</v>
      </c>
      <c r="Q87" s="154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 t="s">
        <v>603</v>
      </c>
      <c r="H89" s="1">
        <v>10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10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2" t="s">
        <v>600</v>
      </c>
      <c r="E95" s="152"/>
      <c r="F95" s="152"/>
      <c r="G95" s="152" t="s">
        <v>600</v>
      </c>
      <c r="H95" s="152"/>
      <c r="I95" s="152"/>
      <c r="J95" s="152" t="s">
        <v>600</v>
      </c>
      <c r="K95" s="152"/>
      <c r="L95" s="152"/>
      <c r="M95" s="152" t="s">
        <v>600</v>
      </c>
      <c r="N95" s="152"/>
      <c r="O95" s="152"/>
      <c r="P95" s="152" t="s">
        <v>600</v>
      </c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6" t="s">
        <v>596</v>
      </c>
      <c r="E102" s="154"/>
      <c r="F102" s="154"/>
      <c r="G102" s="156" t="s">
        <v>596</v>
      </c>
      <c r="H102" s="154"/>
      <c r="I102" s="154"/>
      <c r="J102" s="156" t="s">
        <v>596</v>
      </c>
      <c r="K102" s="154"/>
      <c r="L102" s="154"/>
      <c r="M102" s="156" t="s">
        <v>596</v>
      </c>
      <c r="N102" s="154"/>
      <c r="O102" s="154"/>
      <c r="P102" s="156" t="s">
        <v>596</v>
      </c>
      <c r="Q102" s="154"/>
      <c r="R102" s="154"/>
    </row>
    <row r="103" spans="4:18" ht="12.75"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</row>
    <row r="104" spans="7:12" ht="12.75">
      <c r="G104" s="37"/>
      <c r="K104" s="153"/>
      <c r="L104" s="153"/>
    </row>
    <row r="105" spans="10:12" ht="12.75">
      <c r="J105" s="37"/>
      <c r="K105" s="153"/>
      <c r="L105" s="154"/>
    </row>
    <row r="106" spans="10:12" ht="12.75">
      <c r="J106" s="37"/>
      <c r="K106" s="153"/>
      <c r="L106" s="154"/>
    </row>
    <row r="107" spans="11:12" ht="12.75">
      <c r="K107" s="153"/>
      <c r="L107" s="154"/>
    </row>
    <row r="108" spans="10:12" ht="12.75">
      <c r="J108" s="37"/>
      <c r="K108" s="153"/>
      <c r="L108" s="154"/>
    </row>
    <row r="109" spans="10:12" ht="12.75">
      <c r="J109" s="37"/>
      <c r="K109" s="153"/>
      <c r="L109" s="154"/>
    </row>
    <row r="110" spans="10:12" ht="12.75">
      <c r="J110" s="37"/>
      <c r="K110" s="153"/>
      <c r="L110" s="154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25">
      <selection activeCell="U35" sqref="U3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40173</v>
      </c>
      <c r="E1" s="158"/>
      <c r="F1" s="159"/>
      <c r="G1" s="18"/>
      <c r="H1" s="32">
        <v>40180</v>
      </c>
      <c r="I1" s="19"/>
      <c r="J1" s="44"/>
      <c r="K1" s="32">
        <v>40201</v>
      </c>
      <c r="L1" s="45"/>
      <c r="M1" s="18"/>
      <c r="N1" s="32">
        <v>40208</v>
      </c>
      <c r="O1" s="19"/>
      <c r="P1" s="18"/>
      <c r="Q1" s="32">
        <v>40215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41.4502</v>
      </c>
      <c r="D3" s="68">
        <v>1</v>
      </c>
      <c r="E3" s="69"/>
      <c r="F3" s="70">
        <f>-5.3846*D3</f>
        <v>-5.3846</v>
      </c>
      <c r="G3" s="68">
        <v>1</v>
      </c>
      <c r="H3" s="69"/>
      <c r="I3" s="70">
        <f>-5*G3</f>
        <v>-5</v>
      </c>
      <c r="J3" s="68">
        <v>1</v>
      </c>
      <c r="K3" s="69"/>
      <c r="L3" s="70">
        <f>-16.6667*J3</f>
        <v>-16.6667</v>
      </c>
      <c r="M3" s="68">
        <v>1</v>
      </c>
      <c r="N3" s="69"/>
      <c r="O3" s="70">
        <f>-5*M3</f>
        <v>-5</v>
      </c>
      <c r="P3" s="122">
        <v>1</v>
      </c>
      <c r="Q3" s="131">
        <v>80</v>
      </c>
      <c r="R3" s="70">
        <f>-5.4545*P3</f>
        <v>-5.4545</v>
      </c>
      <c r="S3" s="68"/>
      <c r="T3" s="72"/>
      <c r="U3" s="101">
        <f aca="true" t="shared" si="0" ref="U3:U34">C3+E3+F3+H3+I3+K3+L3+N3+O3+T3+Q3+R3</f>
        <v>83.9444</v>
      </c>
    </row>
    <row r="4" spans="1:21" ht="12.75">
      <c r="A4" s="2">
        <v>2</v>
      </c>
      <c r="B4" s="100" t="s">
        <v>3</v>
      </c>
      <c r="C4" s="67">
        <v>62.9508</v>
      </c>
      <c r="D4" s="68">
        <v>1</v>
      </c>
      <c r="E4" s="69"/>
      <c r="F4" s="70">
        <f aca="true" t="shared" si="1" ref="F4:F53">-5.3846*D4</f>
        <v>-5.3846</v>
      </c>
      <c r="G4" s="68">
        <v>1</v>
      </c>
      <c r="H4" s="69"/>
      <c r="I4" s="70">
        <f aca="true" t="shared" si="2" ref="I4:I53">-5*G4</f>
        <v>-5</v>
      </c>
      <c r="J4" s="68">
        <v>1</v>
      </c>
      <c r="K4" s="69"/>
      <c r="L4" s="70">
        <f aca="true" t="shared" si="3" ref="L4:L53">-16.6667*J4</f>
        <v>-16.6667</v>
      </c>
      <c r="M4" s="68"/>
      <c r="N4" s="69"/>
      <c r="O4" s="70">
        <f aca="true" t="shared" si="4" ref="O4:O53">-5*M4</f>
        <v>0</v>
      </c>
      <c r="P4" s="122"/>
      <c r="Q4" s="131"/>
      <c r="R4" s="70">
        <f aca="true" t="shared" si="5" ref="R4:R53">-5.4545*P4</f>
        <v>0</v>
      </c>
      <c r="S4" s="73"/>
      <c r="T4" s="72"/>
      <c r="U4" s="101">
        <f t="shared" si="0"/>
        <v>35.8995</v>
      </c>
    </row>
    <row r="5" spans="1:21" ht="12.75">
      <c r="A5" s="2">
        <v>3</v>
      </c>
      <c r="B5" s="102" t="s">
        <v>13</v>
      </c>
      <c r="C5" s="67"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</v>
      </c>
    </row>
    <row r="6" spans="1:21" ht="12.75">
      <c r="A6" s="2">
        <v>4</v>
      </c>
      <c r="B6" s="103" t="s">
        <v>20</v>
      </c>
      <c r="C6" s="74">
        <v>34.8123</v>
      </c>
      <c r="D6" s="80"/>
      <c r="E6" s="76"/>
      <c r="F6" s="77">
        <f t="shared" si="1"/>
        <v>0</v>
      </c>
      <c r="G6" s="80">
        <v>2</v>
      </c>
      <c r="H6" s="76"/>
      <c r="I6" s="77">
        <f t="shared" si="2"/>
        <v>-10</v>
      </c>
      <c r="J6" s="80">
        <v>1</v>
      </c>
      <c r="K6" s="76"/>
      <c r="L6" s="77">
        <f t="shared" si="3"/>
        <v>-16.6667</v>
      </c>
      <c r="M6" s="80"/>
      <c r="N6" s="76"/>
      <c r="O6" s="77">
        <f t="shared" si="4"/>
        <v>0</v>
      </c>
      <c r="P6" s="123"/>
      <c r="Q6" s="132"/>
      <c r="R6" s="77">
        <f t="shared" si="5"/>
        <v>0</v>
      </c>
      <c r="S6" s="80"/>
      <c r="T6" s="79"/>
      <c r="U6" s="101">
        <f t="shared" si="0"/>
        <v>8.145600000000002</v>
      </c>
    </row>
    <row r="7" spans="1:21" ht="12.75">
      <c r="A7" s="2">
        <v>5</v>
      </c>
      <c r="B7" s="103" t="s">
        <v>46</v>
      </c>
      <c r="C7" s="74"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43.1864</v>
      </c>
    </row>
    <row r="8" spans="1:21" ht="12.75">
      <c r="A8" s="2">
        <v>6</v>
      </c>
      <c r="B8" s="103" t="s">
        <v>47</v>
      </c>
      <c r="C8" s="74"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</v>
      </c>
    </row>
    <row r="9" spans="1:21" ht="12.75">
      <c r="A9" s="2">
        <v>7</v>
      </c>
      <c r="B9" s="106" t="s">
        <v>609</v>
      </c>
      <c r="C9" s="88"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613</v>
      </c>
      <c r="C10" s="88">
        <v>0</v>
      </c>
      <c r="D10" s="94">
        <v>1</v>
      </c>
      <c r="E10" s="90">
        <v>100</v>
      </c>
      <c r="F10" s="91">
        <f t="shared" si="1"/>
        <v>-5.3846</v>
      </c>
      <c r="G10" s="94">
        <v>2</v>
      </c>
      <c r="H10" s="90"/>
      <c r="I10" s="91">
        <f t="shared" si="2"/>
        <v>-10</v>
      </c>
      <c r="J10" s="94"/>
      <c r="K10" s="90"/>
      <c r="L10" s="91">
        <f t="shared" si="3"/>
        <v>0</v>
      </c>
      <c r="M10" s="94">
        <v>0</v>
      </c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84.6154</v>
      </c>
    </row>
    <row r="11" spans="1:21" ht="12.75">
      <c r="A11" s="2">
        <v>9</v>
      </c>
      <c r="B11" s="106" t="s">
        <v>95</v>
      </c>
      <c r="C11" s="88"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v>43.3903</v>
      </c>
      <c r="D12" s="82">
        <v>1</v>
      </c>
      <c r="E12" s="83"/>
      <c r="F12" s="84">
        <f t="shared" si="1"/>
        <v>-5.3846</v>
      </c>
      <c r="G12" s="82">
        <v>1</v>
      </c>
      <c r="H12" s="83"/>
      <c r="I12" s="84">
        <f t="shared" si="2"/>
        <v>-5</v>
      </c>
      <c r="J12" s="82">
        <v>2</v>
      </c>
      <c r="K12" s="83"/>
      <c r="L12" s="84">
        <f t="shared" si="3"/>
        <v>-33.3334</v>
      </c>
      <c r="M12" s="82">
        <v>4</v>
      </c>
      <c r="N12" s="83">
        <v>100</v>
      </c>
      <c r="O12" s="84">
        <f t="shared" si="4"/>
        <v>-20</v>
      </c>
      <c r="P12" s="127">
        <v>1</v>
      </c>
      <c r="Q12" s="136"/>
      <c r="R12" s="84">
        <f t="shared" si="5"/>
        <v>-5.4545</v>
      </c>
      <c r="S12" s="82"/>
      <c r="T12" s="87"/>
      <c r="U12" s="101">
        <f t="shared" si="0"/>
        <v>74.21780000000001</v>
      </c>
    </row>
    <row r="13" spans="1:21" ht="12.75">
      <c r="A13" s="2">
        <v>11</v>
      </c>
      <c r="B13" s="104" t="s">
        <v>96</v>
      </c>
      <c r="C13" s="81"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7.9847</v>
      </c>
    </row>
    <row r="14" spans="1:21" ht="12.75">
      <c r="A14" s="2">
        <v>12</v>
      </c>
      <c r="B14" s="104" t="s">
        <v>29</v>
      </c>
      <c r="C14" s="81"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33.7961</v>
      </c>
    </row>
    <row r="15" spans="1:21" ht="12.75">
      <c r="A15" s="2">
        <v>13</v>
      </c>
      <c r="B15" s="105" t="s">
        <v>30</v>
      </c>
      <c r="C15" s="60"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-16.6667</v>
      </c>
      <c r="M15" s="61">
        <v>1</v>
      </c>
      <c r="N15" s="62"/>
      <c r="O15" s="63">
        <f t="shared" si="4"/>
        <v>-5</v>
      </c>
      <c r="P15" s="128"/>
      <c r="Q15" s="137"/>
      <c r="R15" s="63">
        <f t="shared" si="5"/>
        <v>0</v>
      </c>
      <c r="S15" s="66"/>
      <c r="T15" s="65"/>
      <c r="U15" s="101">
        <f t="shared" si="0"/>
        <v>92.4904</v>
      </c>
    </row>
    <row r="16" spans="1:21" ht="12.75">
      <c r="A16" s="2">
        <v>14</v>
      </c>
      <c r="B16" s="105" t="s">
        <v>88</v>
      </c>
      <c r="C16" s="60"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v>55.7964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-5.4545</v>
      </c>
      <c r="S18" s="68"/>
      <c r="T18" s="72"/>
      <c r="U18" s="101">
        <f t="shared" si="0"/>
        <v>50.341899999999995</v>
      </c>
    </row>
    <row r="19" spans="1:21" ht="12.75">
      <c r="A19" s="2">
        <v>17</v>
      </c>
      <c r="B19" s="102" t="s">
        <v>56</v>
      </c>
      <c r="C19" s="67">
        <v>-4.5773</v>
      </c>
      <c r="D19" s="68"/>
      <c r="E19" s="69"/>
      <c r="F19" s="70">
        <f t="shared" si="1"/>
        <v>0</v>
      </c>
      <c r="G19" s="68"/>
      <c r="H19" s="69"/>
      <c r="I19" s="70">
        <f t="shared" si="2"/>
        <v>0</v>
      </c>
      <c r="J19" s="68">
        <v>2</v>
      </c>
      <c r="K19" s="69">
        <v>100</v>
      </c>
      <c r="L19" s="70">
        <f t="shared" si="3"/>
        <v>-33.3334</v>
      </c>
      <c r="M19" s="68"/>
      <c r="N19" s="69"/>
      <c r="O19" s="70">
        <f t="shared" si="4"/>
        <v>0</v>
      </c>
      <c r="P19" s="122"/>
      <c r="Q19" s="131"/>
      <c r="R19" s="70">
        <f t="shared" si="5"/>
        <v>0</v>
      </c>
      <c r="S19" s="73"/>
      <c r="T19" s="72"/>
      <c r="U19" s="101">
        <f t="shared" si="0"/>
        <v>62.08930000000001</v>
      </c>
    </row>
    <row r="20" spans="1:21" ht="12.75">
      <c r="A20" s="2">
        <v>18</v>
      </c>
      <c r="B20" s="102" t="s">
        <v>57</v>
      </c>
      <c r="C20" s="67"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616</v>
      </c>
      <c r="C21" s="74">
        <v>82.3669</v>
      </c>
      <c r="D21" s="75"/>
      <c r="E21" s="76"/>
      <c r="F21" s="77">
        <f t="shared" si="1"/>
        <v>0</v>
      </c>
      <c r="G21" s="75">
        <v>1</v>
      </c>
      <c r="H21" s="76"/>
      <c r="I21" s="77">
        <f t="shared" si="2"/>
        <v>-5</v>
      </c>
      <c r="J21" s="75">
        <v>1</v>
      </c>
      <c r="K21" s="76"/>
      <c r="L21" s="77">
        <f t="shared" si="3"/>
        <v>-16.6667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60.7002</v>
      </c>
    </row>
    <row r="22" spans="1:21" ht="12.75">
      <c r="A22" s="2">
        <v>20</v>
      </c>
      <c r="B22" s="103" t="s">
        <v>152</v>
      </c>
      <c r="C22" s="74"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52.117</v>
      </c>
    </row>
    <row r="23" spans="1:21" ht="12.75">
      <c r="A23" s="2">
        <v>21</v>
      </c>
      <c r="B23" s="103" t="s">
        <v>41</v>
      </c>
      <c r="C23" s="74">
        <v>76.75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-33.3334</v>
      </c>
      <c r="M23" s="75">
        <v>2</v>
      </c>
      <c r="N23" s="76"/>
      <c r="O23" s="77">
        <f t="shared" si="4"/>
        <v>-10</v>
      </c>
      <c r="P23" s="124"/>
      <c r="Q23" s="133"/>
      <c r="R23" s="77">
        <f t="shared" si="5"/>
        <v>0</v>
      </c>
      <c r="S23" s="80"/>
      <c r="T23" s="79"/>
      <c r="U23" s="101">
        <f t="shared" si="0"/>
        <v>33.4166</v>
      </c>
    </row>
    <row r="24" spans="1:21" ht="12.75">
      <c r="A24" s="2">
        <v>22</v>
      </c>
      <c r="B24" s="106" t="s">
        <v>64</v>
      </c>
      <c r="C24" s="88"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45</v>
      </c>
      <c r="C25" s="88">
        <v>31.6293</v>
      </c>
      <c r="D25" s="89">
        <v>1</v>
      </c>
      <c r="E25" s="90"/>
      <c r="F25" s="91">
        <f t="shared" si="1"/>
        <v>-5.3846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-16.6667</v>
      </c>
      <c r="M25" s="89">
        <v>1</v>
      </c>
      <c r="N25" s="90">
        <v>100</v>
      </c>
      <c r="O25" s="91">
        <f t="shared" si="4"/>
        <v>-5</v>
      </c>
      <c r="P25" s="125">
        <v>1</v>
      </c>
      <c r="Q25" s="134"/>
      <c r="R25" s="91">
        <f t="shared" si="5"/>
        <v>-5.4545</v>
      </c>
      <c r="S25" s="89"/>
      <c r="T25" s="93"/>
      <c r="U25" s="101">
        <f t="shared" si="0"/>
        <v>94.1235</v>
      </c>
    </row>
    <row r="26" spans="1:21" ht="12.75">
      <c r="A26" s="2">
        <v>24</v>
      </c>
      <c r="B26" s="106" t="s">
        <v>77</v>
      </c>
      <c r="C26" s="88">
        <v>21.7075</v>
      </c>
      <c r="D26" s="89">
        <v>1</v>
      </c>
      <c r="E26" s="90"/>
      <c r="F26" s="91">
        <f t="shared" si="1"/>
        <v>-5.3846</v>
      </c>
      <c r="G26" s="89"/>
      <c r="H26" s="90"/>
      <c r="I26" s="91">
        <f t="shared" si="2"/>
        <v>0</v>
      </c>
      <c r="J26" s="89"/>
      <c r="K26" s="90"/>
      <c r="L26" s="91">
        <f t="shared" si="3"/>
        <v>0</v>
      </c>
      <c r="M26" s="89">
        <v>1</v>
      </c>
      <c r="N26" s="90"/>
      <c r="O26" s="91">
        <f t="shared" si="4"/>
        <v>-5</v>
      </c>
      <c r="P26" s="125">
        <v>1</v>
      </c>
      <c r="Q26" s="134"/>
      <c r="R26" s="91">
        <f t="shared" si="5"/>
        <v>-5.4545</v>
      </c>
      <c r="S26" s="94"/>
      <c r="T26" s="93"/>
      <c r="U26" s="101">
        <f t="shared" si="0"/>
        <v>5.8684</v>
      </c>
    </row>
    <row r="27" spans="1:21" ht="12.75">
      <c r="A27" s="2">
        <v>25</v>
      </c>
      <c r="B27" s="104" t="s">
        <v>486</v>
      </c>
      <c r="C27" s="81">
        <v>71.6527</v>
      </c>
      <c r="D27" s="82">
        <v>1</v>
      </c>
      <c r="E27" s="98"/>
      <c r="F27" s="84">
        <f t="shared" si="1"/>
        <v>-5.3846</v>
      </c>
      <c r="G27" s="82">
        <v>1</v>
      </c>
      <c r="H27" s="98"/>
      <c r="I27" s="84">
        <f t="shared" si="2"/>
        <v>-5</v>
      </c>
      <c r="J27" s="82"/>
      <c r="K27" s="98"/>
      <c r="L27" s="84">
        <f t="shared" si="3"/>
        <v>0</v>
      </c>
      <c r="M27" s="82">
        <v>1</v>
      </c>
      <c r="N27" s="98"/>
      <c r="O27" s="84">
        <f t="shared" si="4"/>
        <v>-5</v>
      </c>
      <c r="P27" s="127"/>
      <c r="Q27" s="136"/>
      <c r="R27" s="84">
        <f t="shared" si="5"/>
        <v>0</v>
      </c>
      <c r="S27" s="82"/>
      <c r="T27" s="87"/>
      <c r="U27" s="101">
        <f t="shared" si="0"/>
        <v>56.26809999999999</v>
      </c>
    </row>
    <row r="28" spans="1:21" ht="12.75">
      <c r="A28" s="2">
        <v>26</v>
      </c>
      <c r="B28" s="104" t="s">
        <v>98</v>
      </c>
      <c r="C28" s="81">
        <v>46.7722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-5</v>
      </c>
      <c r="J28" s="86"/>
      <c r="K28" s="98"/>
      <c r="L28" s="84">
        <f t="shared" si="3"/>
        <v>0</v>
      </c>
      <c r="M28" s="86"/>
      <c r="N28" s="98"/>
      <c r="O28" s="84">
        <f t="shared" si="4"/>
        <v>0</v>
      </c>
      <c r="P28" s="129"/>
      <c r="Q28" s="138"/>
      <c r="R28" s="84">
        <f t="shared" si="5"/>
        <v>0</v>
      </c>
      <c r="S28" s="86"/>
      <c r="T28" s="87"/>
      <c r="U28" s="101">
        <f t="shared" si="0"/>
        <v>41.7722</v>
      </c>
    </row>
    <row r="29" spans="1:21" ht="12.75">
      <c r="A29" s="2">
        <v>27</v>
      </c>
      <c r="B29" s="104" t="s">
        <v>172</v>
      </c>
      <c r="C29" s="81"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v>46.3203</v>
      </c>
      <c r="D30" s="66">
        <v>1</v>
      </c>
      <c r="E30" s="99"/>
      <c r="F30" s="63">
        <f t="shared" si="1"/>
        <v>-5.3846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40.935700000000004</v>
      </c>
      <c r="V30" s="37"/>
    </row>
    <row r="31" spans="1:21" ht="12.75">
      <c r="A31" s="2">
        <v>29</v>
      </c>
      <c r="B31" s="105" t="s">
        <v>89</v>
      </c>
      <c r="C31" s="60">
        <v>68.6183</v>
      </c>
      <c r="D31" s="61">
        <v>1</v>
      </c>
      <c r="E31" s="99"/>
      <c r="F31" s="63">
        <f t="shared" si="1"/>
        <v>-5.3846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>
        <v>1</v>
      </c>
      <c r="N31" s="99"/>
      <c r="O31" s="63">
        <f t="shared" si="4"/>
        <v>-5</v>
      </c>
      <c r="P31" s="128"/>
      <c r="Q31" s="137"/>
      <c r="R31" s="63">
        <f t="shared" si="5"/>
        <v>0</v>
      </c>
      <c r="S31" s="61"/>
      <c r="T31" s="65"/>
      <c r="U31" s="101">
        <f t="shared" si="0"/>
        <v>58.233700000000006</v>
      </c>
    </row>
    <row r="32" spans="1:21" ht="12.75">
      <c r="A32" s="2">
        <v>30</v>
      </c>
      <c r="B32" s="105" t="s">
        <v>166</v>
      </c>
      <c r="C32" s="60"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>
        <v>1</v>
      </c>
      <c r="Q32" s="139"/>
      <c r="R32" s="63">
        <f t="shared" si="5"/>
        <v>-5.4545</v>
      </c>
      <c r="S32" s="66"/>
      <c r="T32" s="65"/>
      <c r="U32" s="101">
        <f t="shared" si="0"/>
        <v>51.330499999999994</v>
      </c>
    </row>
    <row r="33" spans="1:21" ht="12.75">
      <c r="A33" s="2">
        <v>31</v>
      </c>
      <c r="B33" s="102" t="s">
        <v>167</v>
      </c>
      <c r="C33" s="67"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68.5173</v>
      </c>
    </row>
    <row r="34" spans="1:21" ht="12.75">
      <c r="A34" s="2">
        <v>32</v>
      </c>
      <c r="B34" s="102" t="s">
        <v>496</v>
      </c>
      <c r="C34" s="67">
        <v>56.676</v>
      </c>
      <c r="D34" s="68">
        <v>1</v>
      </c>
      <c r="E34" s="69"/>
      <c r="F34" s="70">
        <f t="shared" si="1"/>
        <v>-5.3846</v>
      </c>
      <c r="G34" s="120">
        <v>1</v>
      </c>
      <c r="H34" s="69"/>
      <c r="I34" s="70">
        <f t="shared" si="2"/>
        <v>-5</v>
      </c>
      <c r="J34" s="120">
        <v>1</v>
      </c>
      <c r="K34" s="69"/>
      <c r="L34" s="70">
        <f t="shared" si="3"/>
        <v>-16.6667</v>
      </c>
      <c r="M34" s="68"/>
      <c r="N34" s="69"/>
      <c r="O34" s="70">
        <f t="shared" si="4"/>
        <v>0</v>
      </c>
      <c r="P34" s="122"/>
      <c r="Q34" s="131"/>
      <c r="R34" s="70">
        <f t="shared" si="5"/>
        <v>0</v>
      </c>
      <c r="S34" s="73"/>
      <c r="T34" s="72"/>
      <c r="U34" s="101">
        <f t="shared" si="0"/>
        <v>29.624700000000004</v>
      </c>
    </row>
    <row r="35" spans="1:21" ht="12.75">
      <c r="A35" s="2">
        <v>33</v>
      </c>
      <c r="B35" s="102" t="s">
        <v>168</v>
      </c>
      <c r="C35" s="67">
        <v>77.2197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-16.6667</v>
      </c>
      <c r="M35" s="68"/>
      <c r="N35" s="69"/>
      <c r="O35" s="70">
        <f t="shared" si="4"/>
        <v>0</v>
      </c>
      <c r="P35" s="122">
        <v>1</v>
      </c>
      <c r="Q35" s="131"/>
      <c r="R35" s="70">
        <f t="shared" si="5"/>
        <v>-5.4545</v>
      </c>
      <c r="S35" s="68"/>
      <c r="T35" s="72"/>
      <c r="U35" s="101">
        <f aca="true" t="shared" si="6" ref="U35:U53">C35+E35+F35+H35+I35+K35+L35+N35+O35+T35+Q35+R35</f>
        <v>55.0985</v>
      </c>
    </row>
    <row r="36" spans="1:21" ht="12.75">
      <c r="A36" s="2">
        <v>34</v>
      </c>
      <c r="B36" s="103" t="s">
        <v>109</v>
      </c>
      <c r="C36" s="74"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</v>
      </c>
    </row>
    <row r="37" spans="1:22" ht="12.75">
      <c r="A37" s="2">
        <v>35</v>
      </c>
      <c r="B37" s="103" t="s">
        <v>116</v>
      </c>
      <c r="C37" s="74">
        <v>50.1266</v>
      </c>
      <c r="D37" s="75">
        <v>1</v>
      </c>
      <c r="E37" s="76"/>
      <c r="F37" s="77">
        <f t="shared" si="1"/>
        <v>-5.3846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-16.6667</v>
      </c>
      <c r="M37" s="75">
        <v>1</v>
      </c>
      <c r="N37" s="76"/>
      <c r="O37" s="77">
        <f t="shared" si="4"/>
        <v>-5</v>
      </c>
      <c r="P37" s="124">
        <v>1</v>
      </c>
      <c r="Q37" s="133">
        <v>100</v>
      </c>
      <c r="R37" s="77">
        <f t="shared" si="5"/>
        <v>-5.4545</v>
      </c>
      <c r="S37" s="75"/>
      <c r="T37" s="79"/>
      <c r="U37" s="101">
        <f t="shared" si="6"/>
        <v>112.6208</v>
      </c>
      <c r="V37" s="37"/>
    </row>
    <row r="38" spans="1:21" ht="12.75">
      <c r="A38" s="2">
        <v>36</v>
      </c>
      <c r="B38" s="103" t="s">
        <v>169</v>
      </c>
      <c r="C38" s="74">
        <v>-4.2784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-16.6667</v>
      </c>
      <c r="M38" s="75"/>
      <c r="N38" s="76"/>
      <c r="O38" s="77">
        <f t="shared" si="4"/>
        <v>0</v>
      </c>
      <c r="P38" s="124">
        <v>1</v>
      </c>
      <c r="Q38" s="133">
        <v>80</v>
      </c>
      <c r="R38" s="77">
        <f t="shared" si="5"/>
        <v>-5.4545</v>
      </c>
      <c r="S38" s="80"/>
      <c r="T38" s="79"/>
      <c r="U38" s="101">
        <f t="shared" si="6"/>
        <v>53.6004</v>
      </c>
    </row>
    <row r="39" spans="1:21" ht="12.75">
      <c r="A39" s="2">
        <v>37</v>
      </c>
      <c r="B39" s="106" t="s">
        <v>117</v>
      </c>
      <c r="C39" s="88"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125</v>
      </c>
      <c r="C40" s="88"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146</v>
      </c>
      <c r="C41" s="88"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</v>
      </c>
    </row>
    <row r="42" spans="1:21" ht="12.75">
      <c r="A42" s="2">
        <v>40</v>
      </c>
      <c r="B42" s="104" t="s">
        <v>150</v>
      </c>
      <c r="C42" s="81"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151</v>
      </c>
      <c r="C43" s="81"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8.7841</v>
      </c>
    </row>
    <row r="44" spans="1:21" ht="12.75">
      <c r="A44" s="2">
        <v>42</v>
      </c>
      <c r="B44" s="104" t="s">
        <v>614</v>
      </c>
      <c r="C44" s="81">
        <v>86.4286</v>
      </c>
      <c r="D44" s="86">
        <v>1</v>
      </c>
      <c r="E44" s="98"/>
      <c r="F44" s="84">
        <f t="shared" si="1"/>
        <v>-5.3846</v>
      </c>
      <c r="G44" s="86"/>
      <c r="H44" s="98"/>
      <c r="I44" s="84">
        <f t="shared" si="2"/>
        <v>0</v>
      </c>
      <c r="J44" s="86">
        <v>1</v>
      </c>
      <c r="K44" s="98"/>
      <c r="L44" s="84">
        <f t="shared" si="3"/>
        <v>-16.6667</v>
      </c>
      <c r="M44" s="86">
        <v>1</v>
      </c>
      <c r="N44" s="98"/>
      <c r="O44" s="84">
        <f t="shared" si="4"/>
        <v>-5</v>
      </c>
      <c r="P44" s="129">
        <v>1</v>
      </c>
      <c r="Q44" s="138"/>
      <c r="R44" s="84">
        <f t="shared" si="5"/>
        <v>-5.4545</v>
      </c>
      <c r="S44" s="86"/>
      <c r="T44" s="87"/>
      <c r="U44" s="101">
        <f t="shared" si="6"/>
        <v>53.92279999999999</v>
      </c>
    </row>
    <row r="45" spans="1:21" ht="12.75">
      <c r="A45" s="2">
        <v>43</v>
      </c>
      <c r="B45" s="105" t="s">
        <v>157</v>
      </c>
      <c r="C45" s="60"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6.039</v>
      </c>
    </row>
    <row r="46" spans="1:21" ht="12.75">
      <c r="A46" s="2">
        <v>44</v>
      </c>
      <c r="B46" s="109">
        <v>9631</v>
      </c>
      <c r="C46" s="60">
        <v>29.3896</v>
      </c>
      <c r="D46" s="61">
        <v>1</v>
      </c>
      <c r="E46" s="99"/>
      <c r="F46" s="63">
        <f t="shared" si="1"/>
        <v>-5.3846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24.005000000000003</v>
      </c>
    </row>
    <row r="47" spans="1:21" ht="12.75">
      <c r="A47" s="2">
        <v>45</v>
      </c>
      <c r="B47" s="105" t="s">
        <v>173</v>
      </c>
      <c r="C47" s="60">
        <v>17.3678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>
        <v>1</v>
      </c>
      <c r="K47" s="99"/>
      <c r="L47" s="63">
        <f t="shared" si="3"/>
        <v>-16.6667</v>
      </c>
      <c r="M47" s="66"/>
      <c r="N47" s="99"/>
      <c r="O47" s="63">
        <f t="shared" si="4"/>
        <v>0</v>
      </c>
      <c r="P47" s="130">
        <v>1</v>
      </c>
      <c r="Q47" s="139">
        <v>100</v>
      </c>
      <c r="R47" s="63">
        <f t="shared" si="5"/>
        <v>-5.4545</v>
      </c>
      <c r="S47" s="66"/>
      <c r="T47" s="65"/>
      <c r="U47" s="101">
        <f t="shared" si="6"/>
        <v>90.2466</v>
      </c>
    </row>
    <row r="48" spans="1:21" ht="12.75">
      <c r="A48" s="2">
        <v>46</v>
      </c>
      <c r="B48" s="102" t="s">
        <v>249</v>
      </c>
      <c r="C48" s="67"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11.6028</v>
      </c>
    </row>
    <row r="49" spans="1:21" ht="12.75">
      <c r="A49" s="2">
        <v>47</v>
      </c>
      <c r="B49" s="102" t="s">
        <v>260</v>
      </c>
      <c r="C49" s="67"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481</v>
      </c>
      <c r="C50" s="67"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61.2036</v>
      </c>
    </row>
    <row r="51" spans="1:21" ht="12.75">
      <c r="A51" s="2">
        <v>49</v>
      </c>
      <c r="B51" s="103" t="s">
        <v>272</v>
      </c>
      <c r="C51" s="74"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</v>
      </c>
    </row>
    <row r="52" spans="1:21" ht="12.75">
      <c r="A52" s="2">
        <v>50</v>
      </c>
      <c r="B52" s="103" t="s">
        <v>335</v>
      </c>
      <c r="C52" s="74"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13</v>
      </c>
      <c r="F55" s="1">
        <f>E66/D55</f>
        <v>5.384615384615385</v>
      </c>
      <c r="G55" s="1">
        <f>SUM(G3:G53)</f>
        <v>14</v>
      </c>
      <c r="I55" s="1">
        <f>H66/G55</f>
        <v>5</v>
      </c>
      <c r="J55" s="1">
        <f>SUM(J3:J53)</f>
        <v>18</v>
      </c>
      <c r="L55" s="1">
        <f>K66/J55</f>
        <v>16.666666666666668</v>
      </c>
      <c r="M55" s="1">
        <f>SUM(M3:M53)</f>
        <v>14</v>
      </c>
      <c r="O55" s="1">
        <f>N66/M55</f>
        <v>5</v>
      </c>
      <c r="P55" s="1">
        <f>SUM(P3:P53)</f>
        <v>11</v>
      </c>
      <c r="R55" s="1">
        <f>Q66/P55</f>
        <v>5.454545454545454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-69.99980000000001</v>
      </c>
      <c r="H57" s="37" t="s">
        <v>118</v>
      </c>
      <c r="I57" s="1">
        <f>SUM(I3:I53)</f>
        <v>-70</v>
      </c>
      <c r="K57" s="37" t="s">
        <v>118</v>
      </c>
      <c r="L57" s="1">
        <f>SUM(L3:L53)</f>
        <v>-300.0005999999999</v>
      </c>
      <c r="N57" s="37" t="s">
        <v>118</v>
      </c>
      <c r="O57" s="1">
        <f>SUM(O3:O53)</f>
        <v>-70</v>
      </c>
      <c r="Q57" s="37" t="s">
        <v>118</v>
      </c>
      <c r="R57" s="1">
        <f>SUM(R3:R53)</f>
        <v>-59.99950000000002</v>
      </c>
      <c r="U57" s="24"/>
    </row>
    <row r="58" spans="2:21" ht="12.75">
      <c r="B58" s="41" t="s">
        <v>60</v>
      </c>
      <c r="C58" s="36">
        <f>SUM(C3:C53)</f>
        <v>2359.9990000000007</v>
      </c>
      <c r="E58" s="41"/>
      <c r="H58" s="41"/>
      <c r="K58" s="41"/>
      <c r="N58" s="41"/>
      <c r="Q58" s="41"/>
      <c r="U58" s="24"/>
    </row>
    <row r="59" spans="19:23" ht="12.75">
      <c r="S59" s="151" t="s">
        <v>8</v>
      </c>
      <c r="T59" s="151"/>
      <c r="U59" s="56">
        <f>SUM(U3:U53)</f>
        <v>2549.9991</v>
      </c>
      <c r="W59" s="121">
        <f>U59</f>
        <v>2549.9991</v>
      </c>
    </row>
    <row r="60" spans="4:18" ht="12.75" customHeight="1">
      <c r="D60" s="155" t="s">
        <v>612</v>
      </c>
      <c r="E60" s="161"/>
      <c r="F60" s="162"/>
      <c r="G60" s="155" t="s">
        <v>618</v>
      </c>
      <c r="H60" s="161"/>
      <c r="I60" s="162"/>
      <c r="J60" s="155" t="s">
        <v>619</v>
      </c>
      <c r="K60" s="161"/>
      <c r="L60" s="162"/>
      <c r="M60" s="155" t="s">
        <v>621</v>
      </c>
      <c r="N60" s="161"/>
      <c r="O60" s="162"/>
      <c r="P60" s="155" t="s">
        <v>623</v>
      </c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70</v>
      </c>
      <c r="F66" s="51"/>
      <c r="G66" s="52" t="s">
        <v>261</v>
      </c>
      <c r="H66" s="50">
        <f>H68-H84-H93</f>
        <v>70</v>
      </c>
      <c r="I66" s="51"/>
      <c r="J66" s="52" t="s">
        <v>261</v>
      </c>
      <c r="K66" s="50">
        <f>K68-K84-K93</f>
        <v>300</v>
      </c>
      <c r="L66" s="51"/>
      <c r="M66" s="52" t="s">
        <v>261</v>
      </c>
      <c r="N66" s="50">
        <f>N68-N84-N93</f>
        <v>70</v>
      </c>
      <c r="O66" s="51"/>
      <c r="P66" s="52" t="s">
        <v>261</v>
      </c>
      <c r="Q66" s="50">
        <v>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70</v>
      </c>
      <c r="F68" s="55"/>
      <c r="G68" s="110" t="s">
        <v>19</v>
      </c>
      <c r="H68" s="54">
        <v>70</v>
      </c>
      <c r="I68" s="55"/>
      <c r="J68" s="110" t="s">
        <v>19</v>
      </c>
      <c r="K68" s="54">
        <v>300</v>
      </c>
      <c r="L68" s="55"/>
      <c r="M68" s="110" t="s">
        <v>19</v>
      </c>
      <c r="N68" s="54">
        <v>70</v>
      </c>
      <c r="O68" s="55"/>
      <c r="P68" s="110" t="s">
        <v>19</v>
      </c>
      <c r="Q68" s="54">
        <v>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9" t="s">
        <v>615</v>
      </c>
      <c r="E74" s="149"/>
      <c r="F74" s="149"/>
      <c r="G74" s="149" t="s">
        <v>617</v>
      </c>
      <c r="H74" s="149"/>
      <c r="I74" s="149"/>
      <c r="J74" s="149"/>
      <c r="K74" s="149"/>
      <c r="L74" s="149"/>
      <c r="M74" s="149" t="s">
        <v>620</v>
      </c>
      <c r="N74" s="149"/>
      <c r="O74" s="149"/>
      <c r="P74" s="149" t="s">
        <v>624</v>
      </c>
      <c r="Q74" s="149"/>
      <c r="R74" s="14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13.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4:18" ht="12.75" customHeight="1"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66" t="s">
        <v>622</v>
      </c>
      <c r="Q77" s="166"/>
      <c r="R77" s="166"/>
    </row>
    <row r="78" spans="4:18" ht="12.7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66"/>
      <c r="Q78" s="166"/>
      <c r="R78" s="166"/>
    </row>
    <row r="79" spans="4:18" ht="14.25" customHeight="1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66"/>
      <c r="Q79" s="166"/>
      <c r="R79" s="166"/>
    </row>
    <row r="80" spans="4:17" ht="12.75">
      <c r="D80" s="153" t="s">
        <v>81</v>
      </c>
      <c r="E80" s="154"/>
      <c r="G80" s="153" t="s">
        <v>81</v>
      </c>
      <c r="H80" s="154"/>
      <c r="J80" s="153" t="s">
        <v>81</v>
      </c>
      <c r="K80" s="154"/>
      <c r="M80" s="153" t="s">
        <v>81</v>
      </c>
      <c r="N80" s="154"/>
      <c r="P80" s="153" t="s">
        <v>81</v>
      </c>
      <c r="Q80" s="154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82</v>
      </c>
      <c r="E87" s="154"/>
      <c r="G87" s="153" t="s">
        <v>82</v>
      </c>
      <c r="H87" s="154"/>
      <c r="J87" s="153" t="s">
        <v>82</v>
      </c>
      <c r="K87" s="154"/>
      <c r="M87" s="153" t="s">
        <v>82</v>
      </c>
      <c r="N87" s="154"/>
      <c r="P87" s="153" t="s">
        <v>82</v>
      </c>
      <c r="Q87" s="154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/>
      <c r="M89" s="107"/>
      <c r="P89" s="141" t="s">
        <v>168</v>
      </c>
    </row>
    <row r="93" ht="12.75">
      <c r="E93" s="1">
        <f>SUM(E89:E92)</f>
        <v>0</v>
      </c>
    </row>
    <row r="95" spans="4:18" ht="12.75" customHeight="1">
      <c r="D95" s="152" t="s">
        <v>336</v>
      </c>
      <c r="E95" s="152"/>
      <c r="F95" s="152"/>
      <c r="G95" s="152" t="s">
        <v>336</v>
      </c>
      <c r="H95" s="152"/>
      <c r="I95" s="152"/>
      <c r="J95" s="152" t="s">
        <v>336</v>
      </c>
      <c r="K95" s="152"/>
      <c r="L95" s="152"/>
      <c r="M95" s="152" t="s">
        <v>336</v>
      </c>
      <c r="N95" s="152"/>
      <c r="O95" s="152"/>
      <c r="P95" s="152" t="s">
        <v>336</v>
      </c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 t="s">
        <v>613</v>
      </c>
      <c r="N99" s="37"/>
      <c r="O99" s="59"/>
      <c r="P99" s="107"/>
      <c r="Q99" s="37"/>
      <c r="R99" s="59"/>
    </row>
    <row r="102" spans="4:18" ht="12.75">
      <c r="D102" s="156" t="s">
        <v>261</v>
      </c>
      <c r="E102" s="154"/>
      <c r="F102" s="154"/>
      <c r="G102" s="156" t="s">
        <v>261</v>
      </c>
      <c r="H102" s="154"/>
      <c r="I102" s="154"/>
      <c r="J102" s="156" t="s">
        <v>261</v>
      </c>
      <c r="K102" s="154"/>
      <c r="L102" s="154"/>
      <c r="M102" s="156" t="s">
        <v>261</v>
      </c>
      <c r="N102" s="154"/>
      <c r="O102" s="154"/>
      <c r="P102" s="156" t="s">
        <v>261</v>
      </c>
      <c r="Q102" s="154"/>
      <c r="R102" s="154"/>
    </row>
    <row r="103" spans="4:18" ht="12.75"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</row>
    <row r="104" spans="7:12" ht="12.75">
      <c r="G104" s="37"/>
      <c r="K104" s="153"/>
      <c r="L104" s="153"/>
    </row>
    <row r="105" spans="10:12" ht="12.75">
      <c r="J105" s="37"/>
      <c r="K105" s="153"/>
      <c r="L105" s="154"/>
    </row>
    <row r="106" spans="10:12" ht="12.75">
      <c r="J106" s="37"/>
      <c r="K106" s="153"/>
      <c r="L106" s="154"/>
    </row>
    <row r="107" spans="11:12" ht="12.75">
      <c r="K107" s="153"/>
      <c r="L107" s="154"/>
    </row>
    <row r="108" spans="10:12" ht="12.75">
      <c r="J108" s="37"/>
      <c r="K108" s="153"/>
      <c r="L108" s="154"/>
    </row>
    <row r="109" spans="10:12" ht="12.75">
      <c r="J109" s="37"/>
      <c r="K109" s="153"/>
      <c r="L109" s="154"/>
    </row>
    <row r="110" spans="10:12" ht="12.75">
      <c r="J110" s="37"/>
      <c r="K110" s="153"/>
      <c r="L110" s="154"/>
    </row>
  </sheetData>
  <sheetProtection/>
  <mergeCells count="44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3">
      <selection activeCell="T17" sqref="T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40236</v>
      </c>
      <c r="E1" s="158"/>
      <c r="F1" s="159"/>
      <c r="G1" s="18"/>
      <c r="H1" s="32">
        <v>40243</v>
      </c>
      <c r="I1" s="19"/>
      <c r="J1" s="44"/>
      <c r="K1" s="32">
        <v>40250</v>
      </c>
      <c r="L1" s="45"/>
      <c r="M1" s="18"/>
      <c r="N1" s="32">
        <v>40257</v>
      </c>
      <c r="O1" s="19"/>
      <c r="P1" s="18"/>
      <c r="Q1" s="32">
        <v>40264</v>
      </c>
      <c r="R1" s="19"/>
      <c r="S1" s="18"/>
      <c r="T1" s="111" t="s">
        <v>625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'2010年1月'!U3</f>
        <v>83.9444</v>
      </c>
      <c r="D3" s="68">
        <v>1</v>
      </c>
      <c r="E3" s="69"/>
      <c r="F3" s="70">
        <f>-4.5*D3</f>
        <v>-4.5</v>
      </c>
      <c r="G3" s="68">
        <v>1</v>
      </c>
      <c r="H3" s="69"/>
      <c r="I3" s="70">
        <f>-12.6667*G3</f>
        <v>-12.6667</v>
      </c>
      <c r="J3" s="68">
        <v>1</v>
      </c>
      <c r="K3" s="69"/>
      <c r="L3" s="70">
        <f>-4.3478*J3</f>
        <v>-4.3478</v>
      </c>
      <c r="M3" s="68"/>
      <c r="N3" s="69"/>
      <c r="O3" s="70"/>
      <c r="P3" s="122">
        <v>1</v>
      </c>
      <c r="Q3" s="131"/>
      <c r="R3" s="70">
        <f>-14.7826*P3</f>
        <v>-14.7826</v>
      </c>
      <c r="S3" s="68"/>
      <c r="T3" s="72"/>
      <c r="U3" s="101">
        <f aca="true" t="shared" si="0" ref="U3:U34">C3+E3+F3+H3+I3+K3+L3+N3+O3+T3+Q3+R3</f>
        <v>47.647299999999994</v>
      </c>
    </row>
    <row r="4" spans="1:21" ht="12.75">
      <c r="A4" s="2">
        <v>2</v>
      </c>
      <c r="B4" s="100" t="s">
        <v>3</v>
      </c>
      <c r="C4" s="67">
        <f>'2010年1月'!U4</f>
        <v>35.8995</v>
      </c>
      <c r="D4" s="68">
        <v>1</v>
      </c>
      <c r="E4" s="69"/>
      <c r="F4" s="70">
        <f aca="true" t="shared" si="1" ref="F4:F53">-4.5*D4</f>
        <v>-4.5</v>
      </c>
      <c r="G4" s="68">
        <v>1</v>
      </c>
      <c r="H4" s="69"/>
      <c r="I4" s="70">
        <f aca="true" t="shared" si="2" ref="I4:I53">-12.6667*G4</f>
        <v>-12.6667</v>
      </c>
      <c r="J4" s="68">
        <v>1</v>
      </c>
      <c r="K4" s="69"/>
      <c r="L4" s="70">
        <f aca="true" t="shared" si="3" ref="L4:L53">-4.3478*J4</f>
        <v>-4.3478</v>
      </c>
      <c r="M4" s="68"/>
      <c r="N4" s="69"/>
      <c r="O4" s="70"/>
      <c r="P4" s="122"/>
      <c r="Q4" s="131"/>
      <c r="R4" s="70">
        <f aca="true" t="shared" si="4" ref="R4:R53">-14.7826*P4</f>
        <v>0</v>
      </c>
      <c r="S4" s="73"/>
      <c r="T4" s="72"/>
      <c r="U4" s="101">
        <f t="shared" si="0"/>
        <v>14.385000000000005</v>
      </c>
    </row>
    <row r="5" spans="1:21" ht="12.75">
      <c r="A5" s="2">
        <v>3</v>
      </c>
      <c r="B5" s="102" t="s">
        <v>626</v>
      </c>
      <c r="C5" s="67">
        <f>'2010年1月'!U5</f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-4.3478</v>
      </c>
      <c r="M5" s="68"/>
      <c r="N5" s="69"/>
      <c r="O5" s="70"/>
      <c r="P5" s="122"/>
      <c r="Q5" s="131"/>
      <c r="R5" s="70">
        <f t="shared" si="4"/>
        <v>0</v>
      </c>
      <c r="S5" s="68"/>
      <c r="T5" s="72"/>
      <c r="U5" s="101">
        <f t="shared" si="0"/>
        <v>66.97569999999999</v>
      </c>
    </row>
    <row r="6" spans="1:21" ht="12.75">
      <c r="A6" s="2">
        <v>4</v>
      </c>
      <c r="B6" s="103" t="s">
        <v>627</v>
      </c>
      <c r="C6" s="74">
        <f>'2010年1月'!U6</f>
        <v>8.145600000000002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-4.3478</v>
      </c>
      <c r="M6" s="80"/>
      <c r="N6" s="76"/>
      <c r="O6" s="77"/>
      <c r="P6" s="123"/>
      <c r="Q6" s="132"/>
      <c r="R6" s="77">
        <f t="shared" si="4"/>
        <v>0</v>
      </c>
      <c r="S6" s="80"/>
      <c r="T6" s="79"/>
      <c r="U6" s="101">
        <f t="shared" si="0"/>
        <v>3.7978000000000014</v>
      </c>
    </row>
    <row r="7" spans="1:21" ht="12.75">
      <c r="A7" s="2">
        <v>5</v>
      </c>
      <c r="B7" s="103" t="s">
        <v>628</v>
      </c>
      <c r="C7" s="74">
        <f>'2010年1月'!U7</f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-4.3478</v>
      </c>
      <c r="M7" s="75"/>
      <c r="N7" s="76"/>
      <c r="O7" s="77"/>
      <c r="P7" s="124">
        <v>1</v>
      </c>
      <c r="Q7" s="133"/>
      <c r="R7" s="77">
        <f t="shared" si="4"/>
        <v>-14.7826</v>
      </c>
      <c r="S7" s="75"/>
      <c r="T7" s="79"/>
      <c r="U7" s="101">
        <f t="shared" si="0"/>
        <v>24.055999999999997</v>
      </c>
    </row>
    <row r="8" spans="1:21" ht="12.75">
      <c r="A8" s="2">
        <v>6</v>
      </c>
      <c r="B8" s="103" t="s">
        <v>629</v>
      </c>
      <c r="C8" s="74">
        <f>'2010年1月'!U8</f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>
        <v>1</v>
      </c>
      <c r="K8" s="76"/>
      <c r="L8" s="77">
        <f t="shared" si="3"/>
        <v>-4.3478</v>
      </c>
      <c r="M8" s="75"/>
      <c r="N8" s="76"/>
      <c r="O8" s="77"/>
      <c r="P8" s="124"/>
      <c r="Q8" s="133"/>
      <c r="R8" s="77">
        <f t="shared" si="4"/>
        <v>0</v>
      </c>
      <c r="S8" s="80"/>
      <c r="T8" s="79"/>
      <c r="U8" s="101">
        <f t="shared" si="0"/>
        <v>66.9405</v>
      </c>
    </row>
    <row r="9" spans="1:21" ht="12.75">
      <c r="A9" s="2">
        <v>7</v>
      </c>
      <c r="B9" s="106" t="s">
        <v>630</v>
      </c>
      <c r="C9" s="88">
        <f>'2010年1月'!U9</f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>
        <v>1</v>
      </c>
      <c r="K9" s="90"/>
      <c r="L9" s="91">
        <f t="shared" si="3"/>
        <v>-4.3478</v>
      </c>
      <c r="M9" s="89"/>
      <c r="N9" s="90"/>
      <c r="O9" s="91"/>
      <c r="P9" s="125"/>
      <c r="Q9" s="134"/>
      <c r="R9" s="91">
        <f t="shared" si="4"/>
        <v>0</v>
      </c>
      <c r="S9" s="89"/>
      <c r="T9" s="93"/>
      <c r="U9" s="101">
        <f t="shared" si="0"/>
        <v>72.0808</v>
      </c>
    </row>
    <row r="10" spans="1:21" ht="12.75">
      <c r="A10" s="2">
        <v>8</v>
      </c>
      <c r="B10" s="106" t="s">
        <v>631</v>
      </c>
      <c r="C10" s="88">
        <f>'2010年1月'!U10</f>
        <v>84.6154</v>
      </c>
      <c r="D10" s="94">
        <v>1</v>
      </c>
      <c r="E10" s="90"/>
      <c r="F10" s="91">
        <f t="shared" si="1"/>
        <v>-4.5</v>
      </c>
      <c r="G10" s="94">
        <v>1</v>
      </c>
      <c r="H10" s="90"/>
      <c r="I10" s="91">
        <f t="shared" si="2"/>
        <v>-12.6667</v>
      </c>
      <c r="J10" s="94">
        <v>1</v>
      </c>
      <c r="K10" s="90"/>
      <c r="L10" s="91">
        <f t="shared" si="3"/>
        <v>-4.3478</v>
      </c>
      <c r="M10" s="94"/>
      <c r="N10" s="90"/>
      <c r="O10" s="91"/>
      <c r="P10" s="126">
        <v>1</v>
      </c>
      <c r="Q10" s="135"/>
      <c r="R10" s="91">
        <f t="shared" si="4"/>
        <v>-14.7826</v>
      </c>
      <c r="S10" s="94"/>
      <c r="T10" s="93"/>
      <c r="U10" s="101">
        <f t="shared" si="0"/>
        <v>48.31829999999999</v>
      </c>
    </row>
    <row r="11" spans="1:21" ht="12.75">
      <c r="A11" s="2">
        <v>9</v>
      </c>
      <c r="B11" s="106" t="s">
        <v>632</v>
      </c>
      <c r="C11" s="88">
        <f>'2010年1月'!U11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>
        <v>1</v>
      </c>
      <c r="K11" s="90"/>
      <c r="L11" s="91">
        <f t="shared" si="3"/>
        <v>-4.3478</v>
      </c>
      <c r="M11" s="89"/>
      <c r="N11" s="90"/>
      <c r="O11" s="91"/>
      <c r="P11" s="125"/>
      <c r="Q11" s="134"/>
      <c r="R11" s="91">
        <f t="shared" si="4"/>
        <v>0</v>
      </c>
      <c r="S11" s="89"/>
      <c r="T11" s="93"/>
      <c r="U11" s="101">
        <f t="shared" si="0"/>
        <v>73.46549999999999</v>
      </c>
    </row>
    <row r="12" spans="1:21" ht="12.75">
      <c r="A12" s="2">
        <v>10</v>
      </c>
      <c r="B12" s="104" t="s">
        <v>633</v>
      </c>
      <c r="C12" s="81">
        <f>'2010年1月'!U12</f>
        <v>74.21780000000001</v>
      </c>
      <c r="D12" s="82">
        <v>4</v>
      </c>
      <c r="E12" s="83"/>
      <c r="F12" s="84">
        <f t="shared" si="1"/>
        <v>-18</v>
      </c>
      <c r="G12" s="82">
        <v>1</v>
      </c>
      <c r="H12" s="83"/>
      <c r="I12" s="84">
        <f t="shared" si="2"/>
        <v>-12.6667</v>
      </c>
      <c r="J12" s="82">
        <v>1</v>
      </c>
      <c r="K12" s="83"/>
      <c r="L12" s="84">
        <f t="shared" si="3"/>
        <v>-4.3478</v>
      </c>
      <c r="M12" s="82"/>
      <c r="N12" s="83"/>
      <c r="O12" s="84"/>
      <c r="P12" s="127">
        <v>1</v>
      </c>
      <c r="Q12" s="136"/>
      <c r="R12" s="84">
        <f t="shared" si="4"/>
        <v>-14.7826</v>
      </c>
      <c r="S12" s="82"/>
      <c r="T12" s="87"/>
      <c r="U12" s="101">
        <f t="shared" si="0"/>
        <v>24.42070000000001</v>
      </c>
    </row>
    <row r="13" spans="1:21" ht="12.75">
      <c r="A13" s="2">
        <v>11</v>
      </c>
      <c r="B13" s="104" t="s">
        <v>634</v>
      </c>
      <c r="C13" s="81">
        <f>'2010年1月'!U13</f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>
        <v>1</v>
      </c>
      <c r="K13" s="83"/>
      <c r="L13" s="84">
        <f t="shared" si="3"/>
        <v>-4.3478</v>
      </c>
      <c r="M13" s="82"/>
      <c r="N13" s="83"/>
      <c r="O13" s="84"/>
      <c r="P13" s="127"/>
      <c r="Q13" s="136"/>
      <c r="R13" s="84">
        <f t="shared" si="4"/>
        <v>0</v>
      </c>
      <c r="S13" s="86"/>
      <c r="T13" s="87"/>
      <c r="U13" s="101">
        <f t="shared" si="0"/>
        <v>3.6369</v>
      </c>
    </row>
    <row r="14" spans="1:21" ht="12.75">
      <c r="A14" s="2">
        <v>12</v>
      </c>
      <c r="B14" s="104" t="s">
        <v>635</v>
      </c>
      <c r="C14" s="81">
        <f>'2010年1月'!U14</f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-4.3478</v>
      </c>
      <c r="M14" s="82"/>
      <c r="N14" s="83"/>
      <c r="O14" s="84"/>
      <c r="P14" s="127"/>
      <c r="Q14" s="136"/>
      <c r="R14" s="84">
        <f t="shared" si="4"/>
        <v>0</v>
      </c>
      <c r="S14" s="82"/>
      <c r="T14" s="87"/>
      <c r="U14" s="101">
        <f t="shared" si="0"/>
        <v>29.448300000000003</v>
      </c>
    </row>
    <row r="15" spans="1:21" ht="12.75">
      <c r="A15" s="2">
        <v>13</v>
      </c>
      <c r="B15" s="105" t="s">
        <v>636</v>
      </c>
      <c r="C15" s="60">
        <f>'2010年1月'!U15</f>
        <v>92.4904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-4.3478</v>
      </c>
      <c r="M15" s="61"/>
      <c r="N15" s="62"/>
      <c r="O15" s="63"/>
      <c r="P15" s="128">
        <v>1</v>
      </c>
      <c r="Q15" s="137"/>
      <c r="R15" s="63">
        <f t="shared" si="4"/>
        <v>-14.7826</v>
      </c>
      <c r="S15" s="66"/>
      <c r="T15" s="65"/>
      <c r="U15" s="101">
        <f t="shared" si="0"/>
        <v>73.35999999999999</v>
      </c>
    </row>
    <row r="16" spans="1:21" ht="12.75">
      <c r="A16" s="2">
        <v>14</v>
      </c>
      <c r="B16" s="105" t="s">
        <v>637</v>
      </c>
      <c r="C16" s="60">
        <f>'2010年1月'!U16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/>
      <c r="P16" s="128"/>
      <c r="Q16" s="137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638</v>
      </c>
      <c r="C17" s="60">
        <f>'2010年1月'!U17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128"/>
      <c r="Q17" s="137"/>
      <c r="R17" s="63">
        <f t="shared" si="4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639</v>
      </c>
      <c r="C18" s="67">
        <f>'2010年1月'!U18</f>
        <v>50.341899999999995</v>
      </c>
      <c r="D18" s="68">
        <v>1</v>
      </c>
      <c r="E18" s="69"/>
      <c r="F18" s="70">
        <f t="shared" si="1"/>
        <v>-4.5</v>
      </c>
      <c r="G18" s="68"/>
      <c r="H18" s="69"/>
      <c r="I18" s="70">
        <f t="shared" si="2"/>
        <v>0</v>
      </c>
      <c r="J18" s="68">
        <v>1</v>
      </c>
      <c r="K18" s="69"/>
      <c r="L18" s="70">
        <f t="shared" si="3"/>
        <v>-4.3478</v>
      </c>
      <c r="M18" s="68"/>
      <c r="N18" s="69"/>
      <c r="O18" s="70"/>
      <c r="P18" s="122">
        <v>1</v>
      </c>
      <c r="Q18" s="131"/>
      <c r="R18" s="70">
        <f t="shared" si="4"/>
        <v>-14.7826</v>
      </c>
      <c r="S18" s="68"/>
      <c r="T18" s="72"/>
      <c r="U18" s="101">
        <f t="shared" si="0"/>
        <v>26.711499999999994</v>
      </c>
    </row>
    <row r="19" spans="1:21" ht="12.75">
      <c r="A19" s="2">
        <v>17</v>
      </c>
      <c r="B19" s="102" t="s">
        <v>640</v>
      </c>
      <c r="C19" s="67">
        <f>'2010年1月'!U19</f>
        <v>62.08930000000001</v>
      </c>
      <c r="D19" s="68">
        <v>1</v>
      </c>
      <c r="E19" s="69"/>
      <c r="F19" s="70">
        <f t="shared" si="1"/>
        <v>-4.5</v>
      </c>
      <c r="G19" s="68"/>
      <c r="H19" s="69"/>
      <c r="I19" s="70">
        <f t="shared" si="2"/>
        <v>0</v>
      </c>
      <c r="J19" s="68">
        <v>1</v>
      </c>
      <c r="K19" s="69"/>
      <c r="L19" s="70">
        <f t="shared" si="3"/>
        <v>-4.3478</v>
      </c>
      <c r="M19" s="68"/>
      <c r="N19" s="69"/>
      <c r="O19" s="70"/>
      <c r="P19" s="122">
        <v>3</v>
      </c>
      <c r="Q19" s="131">
        <v>100</v>
      </c>
      <c r="R19" s="70">
        <f t="shared" si="4"/>
        <v>-44.3478</v>
      </c>
      <c r="S19" s="73"/>
      <c r="T19" s="72"/>
      <c r="U19" s="101">
        <f t="shared" si="0"/>
        <v>108.8937</v>
      </c>
    </row>
    <row r="20" spans="1:21" ht="12.75">
      <c r="A20" s="2">
        <v>18</v>
      </c>
      <c r="B20" s="102" t="s">
        <v>641</v>
      </c>
      <c r="C20" s="67">
        <f>'2010年1月'!U20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-4.3478</v>
      </c>
      <c r="M20" s="68"/>
      <c r="N20" s="69"/>
      <c r="O20" s="70"/>
      <c r="P20" s="122"/>
      <c r="Q20" s="131"/>
      <c r="R20" s="70">
        <f t="shared" si="4"/>
        <v>0</v>
      </c>
      <c r="S20" s="68"/>
      <c r="T20" s="72"/>
      <c r="U20" s="101">
        <f t="shared" si="0"/>
        <v>44.3416</v>
      </c>
    </row>
    <row r="21" spans="1:21" ht="12.75">
      <c r="A21" s="2">
        <v>19</v>
      </c>
      <c r="B21" s="103" t="s">
        <v>642</v>
      </c>
      <c r="C21" s="74">
        <f>'2010年1月'!U21</f>
        <v>60.7002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>
        <v>1</v>
      </c>
      <c r="K21" s="76"/>
      <c r="L21" s="77">
        <f t="shared" si="3"/>
        <v>-4.3478</v>
      </c>
      <c r="M21" s="75"/>
      <c r="N21" s="76"/>
      <c r="O21" s="77"/>
      <c r="P21" s="124">
        <v>1</v>
      </c>
      <c r="Q21" s="133"/>
      <c r="R21" s="77">
        <f t="shared" si="4"/>
        <v>-14.7826</v>
      </c>
      <c r="S21" s="80"/>
      <c r="T21" s="79"/>
      <c r="U21" s="101">
        <f t="shared" si="0"/>
        <v>41.5698</v>
      </c>
    </row>
    <row r="22" spans="1:21" ht="12.75">
      <c r="A22" s="2">
        <v>20</v>
      </c>
      <c r="B22" s="103" t="s">
        <v>643</v>
      </c>
      <c r="C22" s="74">
        <f>'2010年1月'!U22</f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-4.3478</v>
      </c>
      <c r="M22" s="75"/>
      <c r="N22" s="76"/>
      <c r="O22" s="77"/>
      <c r="P22" s="124"/>
      <c r="Q22" s="133"/>
      <c r="R22" s="77">
        <f t="shared" si="4"/>
        <v>0</v>
      </c>
      <c r="S22" s="75"/>
      <c r="T22" s="79"/>
      <c r="U22" s="101">
        <f t="shared" si="0"/>
        <v>47.7692</v>
      </c>
    </row>
    <row r="23" spans="1:21" ht="12.75">
      <c r="A23" s="2">
        <v>21</v>
      </c>
      <c r="B23" s="103" t="s">
        <v>644</v>
      </c>
      <c r="C23" s="74">
        <f>'2010年1月'!U23</f>
        <v>33.4166</v>
      </c>
      <c r="D23" s="75">
        <v>2</v>
      </c>
      <c r="E23" s="76"/>
      <c r="F23" s="77">
        <f t="shared" si="1"/>
        <v>-9</v>
      </c>
      <c r="G23" s="75"/>
      <c r="H23" s="76"/>
      <c r="I23" s="77">
        <f t="shared" si="2"/>
        <v>0</v>
      </c>
      <c r="J23" s="75">
        <v>1</v>
      </c>
      <c r="K23" s="76"/>
      <c r="L23" s="77">
        <f t="shared" si="3"/>
        <v>-4.3478</v>
      </c>
      <c r="M23" s="75"/>
      <c r="N23" s="76"/>
      <c r="O23" s="77"/>
      <c r="P23" s="124"/>
      <c r="Q23" s="133"/>
      <c r="R23" s="77">
        <f t="shared" si="4"/>
        <v>0</v>
      </c>
      <c r="S23" s="80"/>
      <c r="T23" s="79"/>
      <c r="U23" s="101">
        <f t="shared" si="0"/>
        <v>20.068800000000003</v>
      </c>
    </row>
    <row r="24" spans="1:21" ht="12.75">
      <c r="A24" s="2">
        <v>22</v>
      </c>
      <c r="B24" s="106" t="s">
        <v>645</v>
      </c>
      <c r="C24" s="88">
        <f>'2010年1月'!U24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-4.3478</v>
      </c>
      <c r="M24" s="89"/>
      <c r="N24" s="90"/>
      <c r="O24" s="91"/>
      <c r="P24" s="125"/>
      <c r="Q24" s="134"/>
      <c r="R24" s="91">
        <f t="shared" si="4"/>
        <v>0</v>
      </c>
      <c r="S24" s="89"/>
      <c r="T24" s="93"/>
      <c r="U24" s="101">
        <f t="shared" si="0"/>
        <v>91.90809999999999</v>
      </c>
    </row>
    <row r="25" spans="1:21" ht="12.75">
      <c r="A25" s="2">
        <v>23</v>
      </c>
      <c r="B25" s="106" t="s">
        <v>646</v>
      </c>
      <c r="C25" s="88">
        <f>'2010年1月'!U25</f>
        <v>94.1235</v>
      </c>
      <c r="D25" s="89">
        <v>1</v>
      </c>
      <c r="E25" s="90"/>
      <c r="F25" s="91">
        <f t="shared" si="1"/>
        <v>-4.5</v>
      </c>
      <c r="G25" s="89">
        <v>1</v>
      </c>
      <c r="H25" s="90"/>
      <c r="I25" s="91">
        <f t="shared" si="2"/>
        <v>-12.6667</v>
      </c>
      <c r="J25" s="89">
        <v>1</v>
      </c>
      <c r="K25" s="90"/>
      <c r="L25" s="91">
        <f t="shared" si="3"/>
        <v>-4.3478</v>
      </c>
      <c r="M25" s="89"/>
      <c r="N25" s="90"/>
      <c r="O25" s="91"/>
      <c r="P25" s="125">
        <v>2</v>
      </c>
      <c r="Q25" s="134"/>
      <c r="R25" s="91">
        <f t="shared" si="4"/>
        <v>-29.5652</v>
      </c>
      <c r="S25" s="89"/>
      <c r="T25" s="93"/>
      <c r="U25" s="101">
        <f t="shared" si="0"/>
        <v>43.04379999999999</v>
      </c>
    </row>
    <row r="26" spans="1:21" ht="12.75">
      <c r="A26" s="2">
        <v>24</v>
      </c>
      <c r="B26" s="106" t="s">
        <v>647</v>
      </c>
      <c r="C26" s="88">
        <f>'2010年1月'!U26</f>
        <v>5.8684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-12.6667</v>
      </c>
      <c r="J26" s="89">
        <v>1</v>
      </c>
      <c r="K26" s="90"/>
      <c r="L26" s="91">
        <f t="shared" si="3"/>
        <v>-4.3478</v>
      </c>
      <c r="M26" s="89"/>
      <c r="N26" s="90"/>
      <c r="O26" s="91"/>
      <c r="P26" s="125">
        <v>1</v>
      </c>
      <c r="Q26" s="134"/>
      <c r="R26" s="91">
        <f t="shared" si="4"/>
        <v>-14.7826</v>
      </c>
      <c r="S26" s="94"/>
      <c r="T26" s="93"/>
      <c r="U26" s="101">
        <f t="shared" si="0"/>
        <v>-25.9287</v>
      </c>
    </row>
    <row r="27" spans="1:21" ht="12.75">
      <c r="A27" s="2">
        <v>25</v>
      </c>
      <c r="B27" s="104" t="s">
        <v>648</v>
      </c>
      <c r="C27" s="81">
        <f>'2010年1月'!U27</f>
        <v>56.26809999999999</v>
      </c>
      <c r="D27" s="82">
        <v>1</v>
      </c>
      <c r="E27" s="98"/>
      <c r="F27" s="84">
        <f t="shared" si="1"/>
        <v>-4.5</v>
      </c>
      <c r="G27" s="82">
        <v>1</v>
      </c>
      <c r="H27" s="98"/>
      <c r="I27" s="84">
        <f>-12.6667*G27-10</f>
        <v>-22.6667</v>
      </c>
      <c r="J27" s="82">
        <v>1</v>
      </c>
      <c r="K27" s="98"/>
      <c r="L27" s="84">
        <f t="shared" si="3"/>
        <v>-4.3478</v>
      </c>
      <c r="M27" s="82"/>
      <c r="N27" s="98"/>
      <c r="O27" s="84"/>
      <c r="P27" s="127"/>
      <c r="Q27" s="136"/>
      <c r="R27" s="84">
        <f t="shared" si="4"/>
        <v>0</v>
      </c>
      <c r="S27" s="82"/>
      <c r="T27" s="87"/>
      <c r="U27" s="101">
        <f t="shared" si="0"/>
        <v>24.75359999999999</v>
      </c>
    </row>
    <row r="28" spans="1:21" ht="12.75">
      <c r="A28" s="2">
        <v>26</v>
      </c>
      <c r="B28" s="104" t="s">
        <v>649</v>
      </c>
      <c r="C28" s="81">
        <f>'2010年1月'!U28</f>
        <v>41.7722</v>
      </c>
      <c r="D28" s="86"/>
      <c r="E28" s="98"/>
      <c r="F28" s="84">
        <f t="shared" si="1"/>
        <v>0</v>
      </c>
      <c r="G28" s="86">
        <v>2</v>
      </c>
      <c r="H28" s="98"/>
      <c r="I28" s="84">
        <f t="shared" si="2"/>
        <v>-25.3334</v>
      </c>
      <c r="J28" s="86">
        <v>1</v>
      </c>
      <c r="K28" s="98"/>
      <c r="L28" s="84">
        <f t="shared" si="3"/>
        <v>-4.3478</v>
      </c>
      <c r="M28" s="86"/>
      <c r="N28" s="98"/>
      <c r="O28" s="84"/>
      <c r="P28" s="129"/>
      <c r="Q28" s="138"/>
      <c r="R28" s="84">
        <f t="shared" si="4"/>
        <v>0</v>
      </c>
      <c r="S28" s="86"/>
      <c r="T28" s="87"/>
      <c r="U28" s="101">
        <f t="shared" si="0"/>
        <v>12.090999999999998</v>
      </c>
    </row>
    <row r="29" spans="1:21" ht="12.75">
      <c r="A29" s="2">
        <v>27</v>
      </c>
      <c r="B29" s="104" t="s">
        <v>650</v>
      </c>
      <c r="C29" s="81">
        <f>'2010年1月'!U29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>
        <v>1</v>
      </c>
      <c r="K29" s="83"/>
      <c r="L29" s="84">
        <f t="shared" si="3"/>
        <v>-4.3478</v>
      </c>
      <c r="M29" s="82"/>
      <c r="N29" s="83"/>
      <c r="O29" s="84"/>
      <c r="P29" s="127"/>
      <c r="Q29" s="136"/>
      <c r="R29" s="84">
        <f t="shared" si="4"/>
        <v>0</v>
      </c>
      <c r="S29" s="82"/>
      <c r="T29" s="87"/>
      <c r="U29" s="101">
        <f t="shared" si="0"/>
        <v>60.5375</v>
      </c>
    </row>
    <row r="30" spans="1:22" ht="12.75">
      <c r="A30" s="2">
        <v>28</v>
      </c>
      <c r="B30" s="105" t="s">
        <v>651</v>
      </c>
      <c r="C30" s="60">
        <f>'2010年1月'!U30</f>
        <v>40.935700000000004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-4.3478</v>
      </c>
      <c r="M30" s="66"/>
      <c r="N30" s="99"/>
      <c r="O30" s="63"/>
      <c r="P30" s="130"/>
      <c r="Q30" s="139"/>
      <c r="R30" s="63">
        <f t="shared" si="4"/>
        <v>0</v>
      </c>
      <c r="S30" s="66"/>
      <c r="T30" s="65"/>
      <c r="U30" s="101">
        <f t="shared" si="0"/>
        <v>36.587900000000005</v>
      </c>
      <c r="V30" s="37"/>
    </row>
    <row r="31" spans="1:21" ht="12.75">
      <c r="A31" s="2">
        <v>29</v>
      </c>
      <c r="B31" s="105" t="s">
        <v>652</v>
      </c>
      <c r="C31" s="60">
        <f>'2010年1月'!U31</f>
        <v>58.233700000000006</v>
      </c>
      <c r="D31" s="61">
        <v>1</v>
      </c>
      <c r="E31" s="99"/>
      <c r="F31" s="63">
        <f t="shared" si="1"/>
        <v>-4.5</v>
      </c>
      <c r="G31" s="61"/>
      <c r="H31" s="99"/>
      <c r="I31" s="63">
        <f t="shared" si="2"/>
        <v>0</v>
      </c>
      <c r="J31" s="61">
        <v>1</v>
      </c>
      <c r="K31" s="99"/>
      <c r="L31" s="63">
        <f t="shared" si="3"/>
        <v>-4.3478</v>
      </c>
      <c r="M31" s="61"/>
      <c r="N31" s="99"/>
      <c r="O31" s="63"/>
      <c r="P31" s="128"/>
      <c r="Q31" s="137"/>
      <c r="R31" s="63">
        <f t="shared" si="4"/>
        <v>0</v>
      </c>
      <c r="S31" s="61"/>
      <c r="T31" s="65"/>
      <c r="U31" s="101">
        <f t="shared" si="0"/>
        <v>49.38590000000001</v>
      </c>
    </row>
    <row r="32" spans="1:21" ht="12.75">
      <c r="A32" s="2">
        <v>30</v>
      </c>
      <c r="B32" s="105" t="s">
        <v>653</v>
      </c>
      <c r="C32" s="60">
        <f>'2010年1月'!U32</f>
        <v>51.330499999999994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>
        <v>1</v>
      </c>
      <c r="K32" s="99"/>
      <c r="L32" s="63">
        <f t="shared" si="3"/>
        <v>-4.3478</v>
      </c>
      <c r="M32" s="66"/>
      <c r="N32" s="99"/>
      <c r="O32" s="63"/>
      <c r="P32" s="130"/>
      <c r="Q32" s="139"/>
      <c r="R32" s="63">
        <f t="shared" si="4"/>
        <v>0</v>
      </c>
      <c r="S32" s="66"/>
      <c r="T32" s="65"/>
      <c r="U32" s="101">
        <f t="shared" si="0"/>
        <v>46.982699999999994</v>
      </c>
    </row>
    <row r="33" spans="1:21" ht="12.75">
      <c r="A33" s="2">
        <v>31</v>
      </c>
      <c r="B33" s="102" t="s">
        <v>654</v>
      </c>
      <c r="C33" s="67">
        <f>'2010年1月'!U33</f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>
        <v>1</v>
      </c>
      <c r="K33" s="69"/>
      <c r="L33" s="70">
        <f t="shared" si="3"/>
        <v>-4.3478</v>
      </c>
      <c r="M33" s="68"/>
      <c r="N33" s="69"/>
      <c r="O33" s="70"/>
      <c r="P33" s="122"/>
      <c r="Q33" s="131"/>
      <c r="R33" s="70">
        <f t="shared" si="4"/>
        <v>0</v>
      </c>
      <c r="S33" s="68"/>
      <c r="T33" s="72"/>
      <c r="U33" s="101">
        <f t="shared" si="0"/>
        <v>64.1695</v>
      </c>
    </row>
    <row r="34" spans="1:21" ht="12.75">
      <c r="A34" s="2">
        <v>32</v>
      </c>
      <c r="B34" s="102" t="s">
        <v>655</v>
      </c>
      <c r="C34" s="67">
        <f>'2010年1月'!U34</f>
        <v>29.624700000000004</v>
      </c>
      <c r="D34" s="68">
        <v>1</v>
      </c>
      <c r="E34" s="69"/>
      <c r="F34" s="70">
        <f>-4.5*D34-10</f>
        <v>-14.5</v>
      </c>
      <c r="G34" s="120">
        <v>1</v>
      </c>
      <c r="H34" s="69"/>
      <c r="I34" s="70">
        <f t="shared" si="2"/>
        <v>-12.6667</v>
      </c>
      <c r="J34" s="120">
        <v>1</v>
      </c>
      <c r="K34" s="69"/>
      <c r="L34" s="70">
        <f t="shared" si="3"/>
        <v>-4.3478</v>
      </c>
      <c r="M34" s="68"/>
      <c r="N34" s="69"/>
      <c r="O34" s="70"/>
      <c r="P34" s="122">
        <v>1</v>
      </c>
      <c r="Q34" s="131">
        <v>100</v>
      </c>
      <c r="R34" s="70">
        <f t="shared" si="4"/>
        <v>-14.7826</v>
      </c>
      <c r="S34" s="73"/>
      <c r="T34" s="72"/>
      <c r="U34" s="101">
        <f t="shared" si="0"/>
        <v>83.3276</v>
      </c>
    </row>
    <row r="35" spans="1:21" ht="12.75">
      <c r="A35" s="2">
        <v>33</v>
      </c>
      <c r="B35" s="102" t="s">
        <v>656</v>
      </c>
      <c r="C35" s="67">
        <f>'2010年1月'!U35</f>
        <v>55.0985</v>
      </c>
      <c r="D35" s="68">
        <v>1</v>
      </c>
      <c r="E35" s="69"/>
      <c r="F35" s="70">
        <f t="shared" si="1"/>
        <v>-4.5</v>
      </c>
      <c r="G35" s="68">
        <v>1</v>
      </c>
      <c r="H35" s="69"/>
      <c r="I35" s="70">
        <f t="shared" si="2"/>
        <v>-12.6667</v>
      </c>
      <c r="J35" s="68">
        <v>1</v>
      </c>
      <c r="K35" s="69"/>
      <c r="L35" s="70">
        <f t="shared" si="3"/>
        <v>-4.3478</v>
      </c>
      <c r="M35" s="68"/>
      <c r="N35" s="69"/>
      <c r="O35" s="70"/>
      <c r="P35" s="122">
        <v>1</v>
      </c>
      <c r="Q35" s="131"/>
      <c r="R35" s="70">
        <f t="shared" si="4"/>
        <v>-14.7826</v>
      </c>
      <c r="S35" s="68"/>
      <c r="T35" s="72"/>
      <c r="U35" s="101">
        <f aca="true" t="shared" si="5" ref="U35:U53">C35+E35+F35+H35+I35+K35+L35+N35+O35+T35+Q35+R35</f>
        <v>18.8014</v>
      </c>
    </row>
    <row r="36" spans="1:21" ht="12.75">
      <c r="A36" s="2">
        <v>34</v>
      </c>
      <c r="B36" s="103" t="s">
        <v>657</v>
      </c>
      <c r="C36" s="74">
        <f>'2010年1月'!U36</f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>
        <v>1</v>
      </c>
      <c r="K36" s="76"/>
      <c r="L36" s="77">
        <f t="shared" si="3"/>
        <v>-4.3478</v>
      </c>
      <c r="M36" s="75"/>
      <c r="N36" s="76"/>
      <c r="O36" s="77"/>
      <c r="P36" s="124"/>
      <c r="Q36" s="133"/>
      <c r="R36" s="77">
        <f t="shared" si="4"/>
        <v>0</v>
      </c>
      <c r="S36" s="80"/>
      <c r="T36" s="79"/>
      <c r="U36" s="101">
        <f t="shared" si="5"/>
        <v>6.338</v>
      </c>
    </row>
    <row r="37" spans="1:22" ht="12.75">
      <c r="A37" s="2">
        <v>35</v>
      </c>
      <c r="B37" s="103" t="s">
        <v>658</v>
      </c>
      <c r="C37" s="74">
        <f>'2010年1月'!U37</f>
        <v>112.6208</v>
      </c>
      <c r="D37" s="75">
        <v>1</v>
      </c>
      <c r="E37" s="76"/>
      <c r="F37" s="77">
        <f t="shared" si="1"/>
        <v>-4.5</v>
      </c>
      <c r="G37" s="75">
        <v>1</v>
      </c>
      <c r="H37" s="76"/>
      <c r="I37" s="77">
        <f t="shared" si="2"/>
        <v>-12.6667</v>
      </c>
      <c r="J37" s="75">
        <v>1</v>
      </c>
      <c r="K37" s="76"/>
      <c r="L37" s="77">
        <f t="shared" si="3"/>
        <v>-4.3478</v>
      </c>
      <c r="M37" s="75"/>
      <c r="N37" s="76"/>
      <c r="O37" s="77"/>
      <c r="P37" s="124">
        <v>1</v>
      </c>
      <c r="Q37" s="133"/>
      <c r="R37" s="77">
        <f t="shared" si="4"/>
        <v>-14.7826</v>
      </c>
      <c r="S37" s="75"/>
      <c r="T37" s="79"/>
      <c r="U37" s="101">
        <f t="shared" si="5"/>
        <v>76.32369999999999</v>
      </c>
      <c r="V37" s="37"/>
    </row>
    <row r="38" spans="1:21" ht="12.75">
      <c r="A38" s="2">
        <v>36</v>
      </c>
      <c r="B38" s="103" t="s">
        <v>659</v>
      </c>
      <c r="C38" s="74">
        <f>'2010年1月'!U38</f>
        <v>53.6004</v>
      </c>
      <c r="D38" s="75">
        <v>1</v>
      </c>
      <c r="E38" s="76"/>
      <c r="F38" s="77">
        <f t="shared" si="1"/>
        <v>-4.5</v>
      </c>
      <c r="G38" s="75">
        <v>1</v>
      </c>
      <c r="H38" s="76"/>
      <c r="I38" s="77">
        <f t="shared" si="2"/>
        <v>-12.6667</v>
      </c>
      <c r="J38" s="75">
        <v>1</v>
      </c>
      <c r="K38" s="76"/>
      <c r="L38" s="77">
        <f t="shared" si="3"/>
        <v>-4.3478</v>
      </c>
      <c r="M38" s="75"/>
      <c r="N38" s="76"/>
      <c r="O38" s="77"/>
      <c r="P38" s="124">
        <v>1</v>
      </c>
      <c r="Q38" s="133"/>
      <c r="R38" s="77">
        <f t="shared" si="4"/>
        <v>-14.7826</v>
      </c>
      <c r="S38" s="80"/>
      <c r="T38" s="79"/>
      <c r="U38" s="101">
        <f t="shared" si="5"/>
        <v>17.3033</v>
      </c>
    </row>
    <row r="39" spans="1:21" ht="12.75">
      <c r="A39" s="2">
        <v>37</v>
      </c>
      <c r="B39" s="106" t="s">
        <v>660</v>
      </c>
      <c r="C39" s="88">
        <f>'2010年1月'!U39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/>
      <c r="P39" s="125"/>
      <c r="Q39" s="134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661</v>
      </c>
      <c r="C40" s="88">
        <f>'2010年1月'!U40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>
        <v>1</v>
      </c>
      <c r="K40" s="90"/>
      <c r="L40" s="91">
        <f t="shared" si="3"/>
        <v>-4.3478</v>
      </c>
      <c r="M40" s="89"/>
      <c r="N40" s="90"/>
      <c r="O40" s="91"/>
      <c r="P40" s="125"/>
      <c r="Q40" s="134"/>
      <c r="R40" s="91">
        <f t="shared" si="4"/>
        <v>0</v>
      </c>
      <c r="S40" s="89"/>
      <c r="T40" s="93"/>
      <c r="U40" s="101">
        <f t="shared" si="5"/>
        <v>72.83779999999999</v>
      </c>
    </row>
    <row r="41" spans="1:21" ht="12.75">
      <c r="A41" s="2">
        <v>39</v>
      </c>
      <c r="B41" s="106" t="s">
        <v>662</v>
      </c>
      <c r="C41" s="88">
        <f>'2010年1月'!U41</f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/>
      <c r="P41" s="125"/>
      <c r="Q41" s="134"/>
      <c r="R41" s="91">
        <f t="shared" si="4"/>
        <v>0</v>
      </c>
      <c r="S41" s="89"/>
      <c r="T41" s="93"/>
      <c r="U41" s="101">
        <f t="shared" si="5"/>
        <v>0.03</v>
      </c>
    </row>
    <row r="42" spans="1:21" ht="12.75">
      <c r="A42" s="2">
        <v>40</v>
      </c>
      <c r="B42" s="104" t="s">
        <v>663</v>
      </c>
      <c r="C42" s="81">
        <f>'2010年1月'!U42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>
        <v>1</v>
      </c>
      <c r="K42" s="98"/>
      <c r="L42" s="84">
        <f t="shared" si="3"/>
        <v>-4.3478</v>
      </c>
      <c r="M42" s="82"/>
      <c r="N42" s="98"/>
      <c r="O42" s="84"/>
      <c r="P42" s="127"/>
      <c r="Q42" s="136"/>
      <c r="R42" s="84">
        <f t="shared" si="4"/>
        <v>0</v>
      </c>
      <c r="S42" s="82"/>
      <c r="T42" s="87"/>
      <c r="U42" s="101">
        <f t="shared" si="5"/>
        <v>17.7322</v>
      </c>
    </row>
    <row r="43" spans="1:21" ht="12.75">
      <c r="A43" s="2">
        <v>41</v>
      </c>
      <c r="B43" s="104" t="s">
        <v>664</v>
      </c>
      <c r="C43" s="81">
        <f>'2010年1月'!U43</f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>
        <v>1</v>
      </c>
      <c r="K43" s="98"/>
      <c r="L43" s="84">
        <f t="shared" si="3"/>
        <v>-4.3478</v>
      </c>
      <c r="M43" s="86"/>
      <c r="N43" s="98"/>
      <c r="O43" s="84"/>
      <c r="P43" s="129"/>
      <c r="Q43" s="138"/>
      <c r="R43" s="84">
        <f t="shared" si="4"/>
        <v>0</v>
      </c>
      <c r="S43" s="86"/>
      <c r="T43" s="87"/>
      <c r="U43" s="101">
        <f t="shared" si="5"/>
        <v>4.4363</v>
      </c>
    </row>
    <row r="44" spans="1:21" ht="12.75">
      <c r="A44" s="2">
        <v>42</v>
      </c>
      <c r="B44" s="104" t="s">
        <v>665</v>
      </c>
      <c r="C44" s="81">
        <f>'2010年1月'!U44</f>
        <v>53.92279999999999</v>
      </c>
      <c r="D44" s="86">
        <v>1</v>
      </c>
      <c r="E44" s="98"/>
      <c r="F44" s="84">
        <f t="shared" si="1"/>
        <v>-4.5</v>
      </c>
      <c r="G44" s="86">
        <v>1</v>
      </c>
      <c r="H44" s="98"/>
      <c r="I44" s="84">
        <f t="shared" si="2"/>
        <v>-12.6667</v>
      </c>
      <c r="J44" s="86">
        <v>1</v>
      </c>
      <c r="K44" s="98"/>
      <c r="L44" s="84">
        <f t="shared" si="3"/>
        <v>-4.3478</v>
      </c>
      <c r="M44" s="86"/>
      <c r="N44" s="98"/>
      <c r="O44" s="84"/>
      <c r="P44" s="129">
        <v>1</v>
      </c>
      <c r="Q44" s="138"/>
      <c r="R44" s="84">
        <f t="shared" si="4"/>
        <v>-14.7826</v>
      </c>
      <c r="S44" s="86"/>
      <c r="T44" s="87"/>
      <c r="U44" s="101">
        <f t="shared" si="5"/>
        <v>17.625699999999988</v>
      </c>
    </row>
    <row r="45" spans="1:21" ht="12.75">
      <c r="A45" s="2">
        <v>43</v>
      </c>
      <c r="B45" s="105" t="s">
        <v>666</v>
      </c>
      <c r="C45" s="60">
        <f>'2010年1月'!U45</f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/>
      <c r="P45" s="130"/>
      <c r="Q45" s="139"/>
      <c r="R45" s="63">
        <f t="shared" si="4"/>
        <v>0</v>
      </c>
      <c r="S45" s="66"/>
      <c r="T45" s="65"/>
      <c r="U45" s="101">
        <f t="shared" si="5"/>
        <v>6.039</v>
      </c>
    </row>
    <row r="46" spans="1:21" ht="12.75">
      <c r="A46" s="2">
        <v>44</v>
      </c>
      <c r="B46" s="109">
        <v>9631</v>
      </c>
      <c r="C46" s="60">
        <f>'2010年1月'!U46</f>
        <v>24.005000000000003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-4.3478</v>
      </c>
      <c r="M46" s="61"/>
      <c r="N46" s="99"/>
      <c r="O46" s="63"/>
      <c r="P46" s="128"/>
      <c r="Q46" s="137"/>
      <c r="R46" s="63">
        <f t="shared" si="4"/>
        <v>0</v>
      </c>
      <c r="S46" s="61"/>
      <c r="T46" s="65"/>
      <c r="U46" s="101">
        <f t="shared" si="5"/>
        <v>19.657200000000003</v>
      </c>
    </row>
    <row r="47" spans="1:21" ht="12.75">
      <c r="A47" s="2">
        <v>45</v>
      </c>
      <c r="B47" s="105" t="s">
        <v>667</v>
      </c>
      <c r="C47" s="60">
        <f>'2010年1月'!U47</f>
        <v>90.2466</v>
      </c>
      <c r="D47" s="66">
        <v>1</v>
      </c>
      <c r="E47" s="99"/>
      <c r="F47" s="63">
        <f t="shared" si="1"/>
        <v>-4.5</v>
      </c>
      <c r="G47" s="66">
        <v>1</v>
      </c>
      <c r="H47" s="99"/>
      <c r="I47" s="63">
        <f t="shared" si="2"/>
        <v>-12.6667</v>
      </c>
      <c r="J47" s="66">
        <v>1</v>
      </c>
      <c r="K47" s="99"/>
      <c r="L47" s="63">
        <f t="shared" si="3"/>
        <v>-4.3478</v>
      </c>
      <c r="M47" s="66"/>
      <c r="N47" s="99"/>
      <c r="O47" s="63"/>
      <c r="P47" s="130">
        <v>1</v>
      </c>
      <c r="Q47" s="139"/>
      <c r="R47" s="63">
        <f t="shared" si="4"/>
        <v>-14.7826</v>
      </c>
      <c r="S47" s="66"/>
      <c r="T47" s="65"/>
      <c r="U47" s="101">
        <f t="shared" si="5"/>
        <v>53.949499999999986</v>
      </c>
    </row>
    <row r="48" spans="1:21" ht="12.75">
      <c r="A48" s="2">
        <v>46</v>
      </c>
      <c r="B48" s="102" t="s">
        <v>668</v>
      </c>
      <c r="C48" s="67">
        <f>'2010年1月'!U48</f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>
        <v>1</v>
      </c>
      <c r="K48" s="69"/>
      <c r="L48" s="70">
        <f t="shared" si="3"/>
        <v>-4.3478</v>
      </c>
      <c r="M48" s="68"/>
      <c r="N48" s="69"/>
      <c r="O48" s="70"/>
      <c r="P48" s="122"/>
      <c r="Q48" s="140"/>
      <c r="R48" s="70">
        <f t="shared" si="4"/>
        <v>0</v>
      </c>
      <c r="S48" s="68"/>
      <c r="T48" s="72"/>
      <c r="U48" s="101">
        <f t="shared" si="5"/>
        <v>7.255</v>
      </c>
    </row>
    <row r="49" spans="1:21" ht="12.75">
      <c r="A49" s="2">
        <v>47</v>
      </c>
      <c r="B49" s="102" t="s">
        <v>669</v>
      </c>
      <c r="C49" s="67">
        <f>'2010年1月'!U49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>
        <v>1</v>
      </c>
      <c r="K49" s="69"/>
      <c r="L49" s="70">
        <f t="shared" si="3"/>
        <v>-4.3478</v>
      </c>
      <c r="M49" s="68"/>
      <c r="N49" s="69"/>
      <c r="O49" s="70"/>
      <c r="P49" s="122">
        <v>4</v>
      </c>
      <c r="Q49" s="140"/>
      <c r="R49" s="70">
        <f t="shared" si="4"/>
        <v>-59.1304</v>
      </c>
      <c r="S49" s="73"/>
      <c r="T49" s="72"/>
      <c r="U49" s="101">
        <f t="shared" si="5"/>
        <v>35.394299999999994</v>
      </c>
    </row>
    <row r="50" spans="1:21" ht="12.75">
      <c r="A50" s="2">
        <v>48</v>
      </c>
      <c r="B50" s="102" t="s">
        <v>670</v>
      </c>
      <c r="C50" s="67">
        <f>'2010年1月'!U50</f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>
        <v>1</v>
      </c>
      <c r="K50" s="69"/>
      <c r="L50" s="70">
        <f t="shared" si="3"/>
        <v>-4.3478</v>
      </c>
      <c r="M50" s="68"/>
      <c r="N50" s="69"/>
      <c r="O50" s="70"/>
      <c r="P50" s="122"/>
      <c r="Q50" s="140"/>
      <c r="R50" s="70">
        <f t="shared" si="4"/>
        <v>0</v>
      </c>
      <c r="S50" s="68"/>
      <c r="T50" s="72"/>
      <c r="U50" s="101">
        <f t="shared" si="5"/>
        <v>56.8558</v>
      </c>
    </row>
    <row r="51" spans="1:21" ht="12.75">
      <c r="A51" s="2">
        <v>49</v>
      </c>
      <c r="B51" s="103" t="s">
        <v>671</v>
      </c>
      <c r="C51" s="74">
        <f>'2010年1月'!U51</f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>
        <v>1</v>
      </c>
      <c r="K51" s="96"/>
      <c r="L51" s="77">
        <f t="shared" si="3"/>
        <v>-4.3478</v>
      </c>
      <c r="M51" s="75"/>
      <c r="N51" s="96"/>
      <c r="O51" s="77"/>
      <c r="P51" s="75"/>
      <c r="Q51" s="96"/>
      <c r="R51" s="77">
        <f t="shared" si="4"/>
        <v>0</v>
      </c>
      <c r="S51" s="80"/>
      <c r="T51" s="79"/>
      <c r="U51" s="101">
        <f t="shared" si="5"/>
        <v>-3.7897000000000003</v>
      </c>
    </row>
    <row r="52" spans="1:21" ht="12.75">
      <c r="A52" s="2">
        <v>50</v>
      </c>
      <c r="B52" s="103" t="s">
        <v>672</v>
      </c>
      <c r="C52" s="74">
        <f>'2010年1月'!U52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>
        <v>1</v>
      </c>
      <c r="K52" s="96"/>
      <c r="L52" s="77">
        <f t="shared" si="3"/>
        <v>-4.3478</v>
      </c>
      <c r="M52" s="80"/>
      <c r="N52" s="96"/>
      <c r="O52" s="77"/>
      <c r="P52" s="80"/>
      <c r="Q52" s="96"/>
      <c r="R52" s="77">
        <f t="shared" si="4"/>
        <v>0</v>
      </c>
      <c r="S52" s="75"/>
      <c r="T52" s="79"/>
      <c r="U52" s="101">
        <f t="shared" si="5"/>
        <v>28.0512</v>
      </c>
    </row>
    <row r="53" spans="1:21" ht="12.75">
      <c r="A53" s="2">
        <v>51</v>
      </c>
      <c r="B53" s="116">
        <v>2007</v>
      </c>
      <c r="C53" s="74">
        <f>'2010年1月'!U53</f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>
        <v>1</v>
      </c>
      <c r="K53" s="96"/>
      <c r="L53" s="77">
        <f t="shared" si="3"/>
        <v>-4.3478</v>
      </c>
      <c r="M53" s="75"/>
      <c r="N53" s="96"/>
      <c r="O53" s="77"/>
      <c r="P53" s="75"/>
      <c r="Q53" s="96"/>
      <c r="R53" s="77">
        <f t="shared" si="4"/>
        <v>0</v>
      </c>
      <c r="S53" s="75"/>
      <c r="T53" s="114"/>
      <c r="U53" s="101">
        <f t="shared" si="5"/>
        <v>34.2028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4.5</v>
      </c>
      <c r="G55" s="1">
        <f>SUM(G3:G53)</f>
        <v>15</v>
      </c>
      <c r="I55" s="1">
        <f>H66/G55</f>
        <v>12.666666666666666</v>
      </c>
      <c r="J55" s="1">
        <f>SUM(J3:J53)</f>
        <v>46</v>
      </c>
      <c r="L55" s="1">
        <f>K66/J55</f>
        <v>4.3478260869565215</v>
      </c>
      <c r="M55" s="1">
        <f>SUM(M3:M53)</f>
        <v>0</v>
      </c>
      <c r="O55" s="1" t="e">
        <f>N66/M55</f>
        <v>#DIV/0!</v>
      </c>
      <c r="P55" s="1">
        <f>SUM(P3:P53)</f>
        <v>23</v>
      </c>
      <c r="R55" s="1">
        <f>Q66/P55</f>
        <v>14.782608695652174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673</v>
      </c>
      <c r="F56" s="48" t="s">
        <v>674</v>
      </c>
      <c r="G56" s="47" t="s">
        <v>673</v>
      </c>
      <c r="I56" s="48" t="s">
        <v>674</v>
      </c>
      <c r="J56" s="47" t="s">
        <v>673</v>
      </c>
      <c r="L56" s="48" t="s">
        <v>674</v>
      </c>
      <c r="M56" s="47" t="s">
        <v>673</v>
      </c>
      <c r="O56" s="48" t="s">
        <v>674</v>
      </c>
      <c r="P56" s="47" t="s">
        <v>673</v>
      </c>
      <c r="R56" s="48" t="s">
        <v>674</v>
      </c>
    </row>
    <row r="57" spans="5:21" ht="12.75">
      <c r="E57" s="37" t="s">
        <v>675</v>
      </c>
      <c r="F57" s="1">
        <f>SUM(F3:F53)</f>
        <v>-100</v>
      </c>
      <c r="H57" s="37" t="s">
        <v>675</v>
      </c>
      <c r="I57" s="1">
        <f>SUM(I3:I53)</f>
        <v>-200.00049999999996</v>
      </c>
      <c r="K57" s="37" t="s">
        <v>675</v>
      </c>
      <c r="L57" s="1">
        <f>SUM(L3:L53)</f>
        <v>-199.9988000000002</v>
      </c>
      <c r="N57" s="37" t="s">
        <v>675</v>
      </c>
      <c r="O57" s="1">
        <f>SUM(O3:O53)</f>
        <v>0</v>
      </c>
      <c r="Q57" s="37" t="s">
        <v>675</v>
      </c>
      <c r="R57" s="1">
        <f>SUM(R3:R53)</f>
        <v>-339.9998</v>
      </c>
      <c r="U57" s="24"/>
    </row>
    <row r="58" spans="2:21" ht="12.75">
      <c r="B58" s="41" t="s">
        <v>676</v>
      </c>
      <c r="C58" s="36">
        <f>SUM(C3:C53)</f>
        <v>2549.9991</v>
      </c>
      <c r="E58" s="41"/>
      <c r="H58" s="41"/>
      <c r="K58" s="41"/>
      <c r="N58" s="41"/>
      <c r="Q58" s="41"/>
      <c r="U58" s="24"/>
    </row>
    <row r="59" spans="19:23" ht="12.75">
      <c r="S59" s="151" t="s">
        <v>8</v>
      </c>
      <c r="T59" s="151"/>
      <c r="U59" s="56">
        <f>SUM(U3:U53)</f>
        <v>1910</v>
      </c>
      <c r="W59" s="121">
        <f>U59</f>
        <v>1910</v>
      </c>
    </row>
    <row r="60" spans="4:18" ht="12.75" customHeight="1">
      <c r="D60" s="155" t="s">
        <v>682</v>
      </c>
      <c r="E60" s="161"/>
      <c r="F60" s="162"/>
      <c r="G60" s="155" t="s">
        <v>684</v>
      </c>
      <c r="H60" s="161"/>
      <c r="I60" s="162"/>
      <c r="J60" s="155" t="s">
        <v>685</v>
      </c>
      <c r="K60" s="161"/>
      <c r="L60" s="162"/>
      <c r="M60" s="155"/>
      <c r="N60" s="161"/>
      <c r="O60" s="162"/>
      <c r="P60" s="155" t="s">
        <v>689</v>
      </c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677</v>
      </c>
      <c r="E66" s="50">
        <f>E68-E84-E93</f>
        <v>90</v>
      </c>
      <c r="F66" s="51"/>
      <c r="G66" s="52" t="s">
        <v>677</v>
      </c>
      <c r="H66" s="50">
        <f>H68-H84-H93</f>
        <v>190</v>
      </c>
      <c r="I66" s="51"/>
      <c r="J66" s="52" t="s">
        <v>677</v>
      </c>
      <c r="K66" s="50">
        <f>K68-K84-K93</f>
        <v>200</v>
      </c>
      <c r="L66" s="51"/>
      <c r="M66" s="52" t="s">
        <v>677</v>
      </c>
      <c r="N66" s="50">
        <f>N68-N84-N93</f>
        <v>0</v>
      </c>
      <c r="O66" s="51"/>
      <c r="P66" s="52" t="s">
        <v>677</v>
      </c>
      <c r="Q66" s="50">
        <f>Q68-Q84-Q93</f>
        <v>340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678</v>
      </c>
      <c r="E68" s="54">
        <v>100</v>
      </c>
      <c r="F68" s="55"/>
      <c r="G68" s="110" t="s">
        <v>678</v>
      </c>
      <c r="H68" s="54">
        <v>200</v>
      </c>
      <c r="I68" s="55"/>
      <c r="J68" s="110" t="s">
        <v>678</v>
      </c>
      <c r="K68" s="54">
        <v>200</v>
      </c>
      <c r="L68" s="55"/>
      <c r="M68" s="110" t="s">
        <v>678</v>
      </c>
      <c r="N68" s="54"/>
      <c r="O68" s="55"/>
      <c r="P68" s="110" t="s">
        <v>678</v>
      </c>
      <c r="Q68" s="54">
        <v>340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9"/>
      <c r="E74" s="149"/>
      <c r="F74" s="149"/>
      <c r="G74" s="166" t="s">
        <v>688</v>
      </c>
      <c r="H74" s="166"/>
      <c r="I74" s="166"/>
      <c r="J74" s="149" t="s">
        <v>686</v>
      </c>
      <c r="K74" s="149"/>
      <c r="L74" s="149"/>
      <c r="M74" s="149"/>
      <c r="N74" s="149"/>
      <c r="O74" s="149"/>
      <c r="P74" s="149" t="s">
        <v>690</v>
      </c>
      <c r="Q74" s="149"/>
      <c r="R74" s="149"/>
    </row>
    <row r="75" spans="4:18" ht="12.75">
      <c r="D75" s="149"/>
      <c r="E75" s="149"/>
      <c r="F75" s="149"/>
      <c r="G75" s="166"/>
      <c r="H75" s="166"/>
      <c r="I75" s="166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13.5" customHeight="1">
      <c r="D76" s="149"/>
      <c r="E76" s="149"/>
      <c r="F76" s="149"/>
      <c r="G76" s="166"/>
      <c r="H76" s="166"/>
      <c r="I76" s="166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4:18" ht="12.75" customHeight="1">
      <c r="D77" s="149"/>
      <c r="E77" s="149"/>
      <c r="F77" s="149"/>
      <c r="G77" s="149"/>
      <c r="H77" s="149"/>
      <c r="I77" s="149"/>
      <c r="J77" s="149" t="s">
        <v>687</v>
      </c>
      <c r="K77" s="149"/>
      <c r="L77" s="149"/>
      <c r="M77" s="149"/>
      <c r="N77" s="149"/>
      <c r="O77" s="149"/>
      <c r="P77" s="149"/>
      <c r="Q77" s="149"/>
      <c r="R77" s="149"/>
    </row>
    <row r="78" spans="4:18" ht="12.7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4:18" ht="14.25" customHeight="1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4:17" ht="12.75">
      <c r="D80" s="153" t="s">
        <v>679</v>
      </c>
      <c r="E80" s="154"/>
      <c r="G80" s="153" t="s">
        <v>679</v>
      </c>
      <c r="H80" s="154"/>
      <c r="J80" s="153" t="s">
        <v>679</v>
      </c>
      <c r="K80" s="154"/>
      <c r="M80" s="153" t="s">
        <v>679</v>
      </c>
      <c r="N80" s="154"/>
      <c r="P80" s="153" t="s">
        <v>679</v>
      </c>
      <c r="Q80" s="154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683</v>
      </c>
      <c r="E82" s="1">
        <v>10</v>
      </c>
      <c r="G82" s="107" t="s">
        <v>486</v>
      </c>
      <c r="H82" s="1">
        <v>10</v>
      </c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10</v>
      </c>
      <c r="H84" s="37">
        <f>SUM(H82:H83)</f>
        <v>10</v>
      </c>
      <c r="K84" s="37"/>
      <c r="N84" s="37"/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680</v>
      </c>
      <c r="E87" s="154"/>
      <c r="G87" s="153" t="s">
        <v>680</v>
      </c>
      <c r="H87" s="154"/>
      <c r="J87" s="153" t="s">
        <v>680</v>
      </c>
      <c r="K87" s="154"/>
      <c r="M87" s="153" t="s">
        <v>680</v>
      </c>
      <c r="N87" s="154"/>
      <c r="P87" s="153" t="s">
        <v>680</v>
      </c>
      <c r="Q87" s="154"/>
    </row>
    <row r="88" spans="4:16" ht="12.75">
      <c r="D88" s="37"/>
      <c r="G88" s="37"/>
      <c r="J88" s="37"/>
      <c r="M88" s="37"/>
      <c r="P88" s="37"/>
    </row>
    <row r="89" spans="4:16" ht="12.75">
      <c r="D89" s="107"/>
      <c r="G89" s="107"/>
      <c r="J89" s="107"/>
      <c r="M89" s="107"/>
      <c r="P89" s="141"/>
    </row>
    <row r="95" spans="4:18" ht="12.75" customHeight="1">
      <c r="D95" s="152" t="s">
        <v>681</v>
      </c>
      <c r="E95" s="152"/>
      <c r="F95" s="152"/>
      <c r="G95" s="152" t="s">
        <v>681</v>
      </c>
      <c r="H95" s="152"/>
      <c r="I95" s="152"/>
      <c r="J95" s="152" t="s">
        <v>681</v>
      </c>
      <c r="K95" s="152"/>
      <c r="L95" s="152"/>
      <c r="M95" s="152" t="s">
        <v>681</v>
      </c>
      <c r="N95" s="152"/>
      <c r="O95" s="152"/>
      <c r="P95" s="152" t="s">
        <v>681</v>
      </c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/>
      <c r="N99" s="37"/>
      <c r="O99" s="59"/>
      <c r="P99" s="107"/>
      <c r="Q99" s="37"/>
      <c r="R99" s="59"/>
    </row>
    <row r="102" spans="4:18" ht="12.75">
      <c r="D102" s="156" t="s">
        <v>677</v>
      </c>
      <c r="E102" s="154"/>
      <c r="F102" s="154"/>
      <c r="G102" s="156" t="s">
        <v>677</v>
      </c>
      <c r="H102" s="154"/>
      <c r="I102" s="154"/>
      <c r="J102" s="156" t="s">
        <v>677</v>
      </c>
      <c r="K102" s="154"/>
      <c r="L102" s="154"/>
      <c r="M102" s="156" t="s">
        <v>677</v>
      </c>
      <c r="N102" s="154"/>
      <c r="O102" s="154"/>
      <c r="P102" s="156" t="s">
        <v>677</v>
      </c>
      <c r="Q102" s="154"/>
      <c r="R102" s="154"/>
    </row>
    <row r="103" spans="4:18" ht="12.75"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</row>
    <row r="104" spans="7:12" ht="12.75">
      <c r="G104" s="37"/>
      <c r="K104" s="153"/>
      <c r="L104" s="153"/>
    </row>
    <row r="105" spans="10:12" ht="12.75">
      <c r="J105" s="37"/>
      <c r="K105" s="153"/>
      <c r="L105" s="154"/>
    </row>
    <row r="106" spans="10:12" ht="12.75">
      <c r="J106" s="37"/>
      <c r="K106" s="153"/>
      <c r="L106" s="154"/>
    </row>
    <row r="107" spans="11:12" ht="12.75">
      <c r="K107" s="153"/>
      <c r="L107" s="154"/>
    </row>
    <row r="108" spans="10:12" ht="12.75">
      <c r="J108" s="37"/>
      <c r="K108" s="153"/>
      <c r="L108" s="154"/>
    </row>
    <row r="109" spans="10:12" ht="12.75">
      <c r="J109" s="37"/>
      <c r="K109" s="153"/>
      <c r="L109" s="154"/>
    </row>
    <row r="110" spans="10:12" ht="12.75">
      <c r="J110" s="37"/>
      <c r="K110" s="153"/>
      <c r="L110" s="154"/>
    </row>
  </sheetData>
  <sheetProtection/>
  <mergeCells count="44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34">
      <selection activeCell="T67" sqref="T6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7.0039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40271</v>
      </c>
      <c r="E1" s="158"/>
      <c r="F1" s="159"/>
      <c r="G1" s="18"/>
      <c r="H1" s="32">
        <v>40278</v>
      </c>
      <c r="I1" s="19"/>
      <c r="J1" s="44"/>
      <c r="K1" s="32">
        <v>40285</v>
      </c>
      <c r="L1" s="45"/>
      <c r="M1" s="18"/>
      <c r="N1" s="32">
        <v>40292</v>
      </c>
      <c r="O1" s="19"/>
      <c r="P1" s="18"/>
      <c r="Q1" s="32">
        <v>40299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'2010年3月'!U3</f>
        <v>47.647299999999994</v>
      </c>
      <c r="D3" s="68">
        <v>1</v>
      </c>
      <c r="E3" s="69"/>
      <c r="F3" s="70">
        <f>-15.4545*D3</f>
        <v>-15.4545</v>
      </c>
      <c r="G3" s="68">
        <v>1</v>
      </c>
      <c r="H3" s="69"/>
      <c r="I3" s="70">
        <f>-14.1667*G3</f>
        <v>-14.1667</v>
      </c>
      <c r="J3" s="68">
        <v>1</v>
      </c>
      <c r="K3" s="69">
        <v>68.0316</v>
      </c>
      <c r="L3" s="70">
        <f>-3.9781*J3</f>
        <v>-3.9781</v>
      </c>
      <c r="M3" s="68"/>
      <c r="N3" s="69"/>
      <c r="O3" s="70"/>
      <c r="P3" s="122"/>
      <c r="Q3" s="131"/>
      <c r="R3" s="70"/>
      <c r="S3" s="68"/>
      <c r="T3" s="72">
        <v>-5.3571</v>
      </c>
      <c r="U3" s="101">
        <f aca="true" t="shared" si="0" ref="U3:U34">C3+E3+F3+H3+I3+K3+L3+N3+O3+T3+Q3+R3</f>
        <v>76.72249999999998</v>
      </c>
    </row>
    <row r="4" spans="1:21" ht="12.75">
      <c r="A4" s="2">
        <v>2</v>
      </c>
      <c r="B4" s="100" t="s">
        <v>3</v>
      </c>
      <c r="C4" s="67">
        <f>'2010年3月'!U4</f>
        <v>14.385000000000005</v>
      </c>
      <c r="D4" s="68">
        <v>1</v>
      </c>
      <c r="E4" s="69">
        <v>100</v>
      </c>
      <c r="F4" s="70">
        <f aca="true" t="shared" si="1" ref="F4:F53">-15.4545*D4</f>
        <v>-15.4545</v>
      </c>
      <c r="G4" s="68">
        <v>1</v>
      </c>
      <c r="H4" s="69"/>
      <c r="I4" s="70">
        <f aca="true" t="shared" si="2" ref="I4:I53">-14.1667*G4</f>
        <v>-14.1667</v>
      </c>
      <c r="J4" s="68">
        <v>1</v>
      </c>
      <c r="K4" s="69"/>
      <c r="L4" s="70">
        <f aca="true" t="shared" si="3" ref="L4:L53">-3.9781*J4</f>
        <v>-3.9781</v>
      </c>
      <c r="M4" s="68"/>
      <c r="N4" s="69"/>
      <c r="O4" s="70"/>
      <c r="P4" s="122"/>
      <c r="Q4" s="131"/>
      <c r="R4" s="70"/>
      <c r="S4" s="73"/>
      <c r="T4" s="72">
        <v>-5.3571</v>
      </c>
      <c r="U4" s="101">
        <f t="shared" si="0"/>
        <v>75.4286</v>
      </c>
    </row>
    <row r="5" spans="1:21" ht="12.75">
      <c r="A5" s="2">
        <v>3</v>
      </c>
      <c r="B5" s="102" t="s">
        <v>191</v>
      </c>
      <c r="C5" s="67">
        <f>'2010年3月'!U5</f>
        <v>66.97569999999999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/>
      <c r="P5" s="122"/>
      <c r="Q5" s="131"/>
      <c r="R5" s="70"/>
      <c r="S5" s="68"/>
      <c r="T5" s="72">
        <v>-5.3571</v>
      </c>
      <c r="U5" s="101">
        <f t="shared" si="0"/>
        <v>61.61859999999999</v>
      </c>
    </row>
    <row r="6" spans="1:21" ht="12.75">
      <c r="A6" s="2">
        <v>4</v>
      </c>
      <c r="B6" s="103" t="s">
        <v>192</v>
      </c>
      <c r="C6" s="74">
        <f>'2010年3月'!U6</f>
        <v>3.7978000000000014</v>
      </c>
      <c r="D6" s="80">
        <v>1</v>
      </c>
      <c r="E6" s="76">
        <v>100</v>
      </c>
      <c r="F6" s="77">
        <f t="shared" si="1"/>
        <v>-15.4545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/>
      <c r="P6" s="123"/>
      <c r="Q6" s="132"/>
      <c r="R6" s="77"/>
      <c r="S6" s="80"/>
      <c r="T6" s="79">
        <v>-5.3571</v>
      </c>
      <c r="U6" s="101">
        <f t="shared" si="0"/>
        <v>82.9862</v>
      </c>
    </row>
    <row r="7" spans="1:21" ht="12.75">
      <c r="A7" s="2">
        <v>5</v>
      </c>
      <c r="B7" s="103" t="s">
        <v>193</v>
      </c>
      <c r="C7" s="74">
        <f>'2010年3月'!U7</f>
        <v>24.055999999999997</v>
      </c>
      <c r="D7" s="75">
        <v>1</v>
      </c>
      <c r="E7" s="76"/>
      <c r="F7" s="77">
        <f t="shared" si="1"/>
        <v>-15.4545</v>
      </c>
      <c r="G7" s="75">
        <v>1</v>
      </c>
      <c r="H7" s="76">
        <v>100</v>
      </c>
      <c r="I7" s="77">
        <f t="shared" si="2"/>
        <v>-14.1667</v>
      </c>
      <c r="J7" s="75">
        <v>1</v>
      </c>
      <c r="K7" s="76"/>
      <c r="L7" s="77">
        <f t="shared" si="3"/>
        <v>-3.9781</v>
      </c>
      <c r="M7" s="75"/>
      <c r="N7" s="76"/>
      <c r="O7" s="77"/>
      <c r="P7" s="124"/>
      <c r="Q7" s="133"/>
      <c r="R7" s="77"/>
      <c r="S7" s="75"/>
      <c r="T7" s="79">
        <v>-5.3571</v>
      </c>
      <c r="U7" s="101">
        <f t="shared" si="0"/>
        <v>85.0996</v>
      </c>
    </row>
    <row r="8" spans="1:21" ht="12.75">
      <c r="A8" s="2">
        <v>6</v>
      </c>
      <c r="B8" s="103" t="s">
        <v>194</v>
      </c>
      <c r="C8" s="74">
        <f>'2010年3月'!U8</f>
        <v>66.9405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/>
      <c r="P8" s="124"/>
      <c r="Q8" s="133"/>
      <c r="R8" s="77"/>
      <c r="S8" s="80"/>
      <c r="T8" s="79">
        <v>-5.3571</v>
      </c>
      <c r="U8" s="101">
        <f t="shared" si="0"/>
        <v>61.5834</v>
      </c>
    </row>
    <row r="9" spans="1:21" ht="12.75">
      <c r="A9" s="2">
        <v>7</v>
      </c>
      <c r="B9" s="106" t="s">
        <v>691</v>
      </c>
      <c r="C9" s="88">
        <f>'2010年3月'!U9</f>
        <v>72.0808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125"/>
      <c r="Q9" s="134"/>
      <c r="R9" s="91"/>
      <c r="S9" s="89"/>
      <c r="T9" s="93">
        <v>-5.3571</v>
      </c>
      <c r="U9" s="101">
        <f t="shared" si="0"/>
        <v>66.7237</v>
      </c>
    </row>
    <row r="10" spans="1:21" ht="12.75">
      <c r="A10" s="2">
        <v>8</v>
      </c>
      <c r="B10" s="106" t="s">
        <v>692</v>
      </c>
      <c r="C10" s="88">
        <f>'2010年3月'!U10</f>
        <v>48.31829999999999</v>
      </c>
      <c r="D10" s="94">
        <v>1</v>
      </c>
      <c r="E10" s="90"/>
      <c r="F10" s="91">
        <f t="shared" si="1"/>
        <v>-15.4545</v>
      </c>
      <c r="G10" s="94">
        <v>1</v>
      </c>
      <c r="H10" s="90"/>
      <c r="I10" s="91">
        <f t="shared" si="2"/>
        <v>-14.1667</v>
      </c>
      <c r="J10" s="94">
        <v>1</v>
      </c>
      <c r="K10" s="90">
        <v>100</v>
      </c>
      <c r="L10" s="91">
        <f t="shared" si="3"/>
        <v>-3.9781</v>
      </c>
      <c r="M10" s="94"/>
      <c r="N10" s="90"/>
      <c r="O10" s="91"/>
      <c r="P10" s="126"/>
      <c r="Q10" s="135"/>
      <c r="R10" s="91"/>
      <c r="S10" s="94"/>
      <c r="T10" s="93">
        <v>-5.3571</v>
      </c>
      <c r="U10" s="101">
        <f t="shared" si="0"/>
        <v>109.36189999999998</v>
      </c>
    </row>
    <row r="11" spans="1:21" ht="12.75">
      <c r="A11" s="2">
        <v>9</v>
      </c>
      <c r="B11" s="106" t="s">
        <v>197</v>
      </c>
      <c r="C11" s="88">
        <f>'2010年3月'!U11</f>
        <v>73.46549999999999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>
        <v>-73.4655</v>
      </c>
      <c r="L11" s="91">
        <f t="shared" si="3"/>
        <v>0</v>
      </c>
      <c r="M11" s="89"/>
      <c r="N11" s="90"/>
      <c r="O11" s="91"/>
      <c r="P11" s="125"/>
      <c r="Q11" s="134"/>
      <c r="R11" s="91"/>
      <c r="S11" s="89"/>
      <c r="T11" s="93">
        <v>0</v>
      </c>
      <c r="U11" s="101">
        <f t="shared" si="0"/>
        <v>-1.4210854715202004E-14</v>
      </c>
    </row>
    <row r="12" spans="1:21" ht="12.75">
      <c r="A12" s="2">
        <v>10</v>
      </c>
      <c r="B12" s="104" t="s">
        <v>693</v>
      </c>
      <c r="C12" s="81">
        <f>'2010年3月'!U12</f>
        <v>24.42070000000001</v>
      </c>
      <c r="D12" s="82">
        <v>1</v>
      </c>
      <c r="E12" s="83"/>
      <c r="F12" s="84">
        <f t="shared" si="1"/>
        <v>-15.4545</v>
      </c>
      <c r="G12" s="82"/>
      <c r="H12" s="83"/>
      <c r="I12" s="84">
        <f t="shared" si="2"/>
        <v>0</v>
      </c>
      <c r="J12" s="82">
        <v>1</v>
      </c>
      <c r="K12" s="83">
        <v>100</v>
      </c>
      <c r="L12" s="84">
        <f t="shared" si="3"/>
        <v>-3.9781</v>
      </c>
      <c r="M12" s="82"/>
      <c r="N12" s="83"/>
      <c r="O12" s="84"/>
      <c r="P12" s="127"/>
      <c r="Q12" s="136"/>
      <c r="R12" s="84"/>
      <c r="S12" s="82"/>
      <c r="T12" s="87">
        <v>-5.3571</v>
      </c>
      <c r="U12" s="101">
        <f t="shared" si="0"/>
        <v>99.63100000000001</v>
      </c>
    </row>
    <row r="13" spans="1:21" ht="12.75">
      <c r="A13" s="2">
        <v>11</v>
      </c>
      <c r="B13" s="104" t="s">
        <v>199</v>
      </c>
      <c r="C13" s="81">
        <f>'2010年3月'!U13</f>
        <v>3.6369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127"/>
      <c r="Q13" s="136"/>
      <c r="R13" s="84"/>
      <c r="S13" s="86"/>
      <c r="T13" s="87">
        <v>-5.3571</v>
      </c>
      <c r="U13" s="101">
        <f t="shared" si="0"/>
        <v>-1.7202000000000002</v>
      </c>
    </row>
    <row r="14" spans="1:21" ht="12.75">
      <c r="A14" s="2">
        <v>12</v>
      </c>
      <c r="B14" s="104" t="s">
        <v>200</v>
      </c>
      <c r="C14" s="81">
        <f>'2010年3月'!U14</f>
        <v>29.448300000000003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127"/>
      <c r="Q14" s="136"/>
      <c r="R14" s="84"/>
      <c r="S14" s="82"/>
      <c r="T14" s="87">
        <v>-5.3571</v>
      </c>
      <c r="U14" s="101">
        <f t="shared" si="0"/>
        <v>24.091200000000004</v>
      </c>
    </row>
    <row r="15" spans="1:21" ht="12.75">
      <c r="A15" s="2">
        <v>13</v>
      </c>
      <c r="B15" s="105" t="s">
        <v>201</v>
      </c>
      <c r="C15" s="60">
        <f>'2010年3月'!U15</f>
        <v>73.35999999999999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>
        <v>102.1806</v>
      </c>
      <c r="L15" s="63">
        <f t="shared" si="3"/>
        <v>-3.9781</v>
      </c>
      <c r="M15" s="61"/>
      <c r="N15" s="62"/>
      <c r="O15" s="63"/>
      <c r="P15" s="128"/>
      <c r="Q15" s="137"/>
      <c r="R15" s="63"/>
      <c r="S15" s="66"/>
      <c r="T15" s="65">
        <v>-5.3571</v>
      </c>
      <c r="U15" s="101">
        <f t="shared" si="0"/>
        <v>166.20539999999997</v>
      </c>
    </row>
    <row r="16" spans="1:21" ht="12.75">
      <c r="A16" s="2">
        <v>14</v>
      </c>
      <c r="B16" s="105" t="s">
        <v>202</v>
      </c>
      <c r="C16" s="60">
        <f>'2010年3月'!U16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>
        <v>-41.6431</v>
      </c>
      <c r="L16" s="63">
        <f t="shared" si="3"/>
        <v>0</v>
      </c>
      <c r="M16" s="61"/>
      <c r="N16" s="62"/>
      <c r="O16" s="63"/>
      <c r="P16" s="128"/>
      <c r="Q16" s="137"/>
      <c r="R16" s="63"/>
      <c r="S16" s="61"/>
      <c r="T16" s="65">
        <v>0</v>
      </c>
      <c r="U16" s="101">
        <f t="shared" si="0"/>
        <v>0</v>
      </c>
    </row>
    <row r="17" spans="1:21" ht="12.75">
      <c r="A17" s="2">
        <v>15</v>
      </c>
      <c r="B17" s="105" t="s">
        <v>203</v>
      </c>
      <c r="C17" s="60">
        <f>'2010年3月'!U17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128"/>
      <c r="Q17" s="137"/>
      <c r="R17" s="63"/>
      <c r="S17" s="66"/>
      <c r="T17" s="65">
        <v>0</v>
      </c>
      <c r="U17" s="101">
        <f t="shared" si="0"/>
        <v>0</v>
      </c>
    </row>
    <row r="18" spans="1:21" ht="12.75">
      <c r="A18" s="2">
        <v>16</v>
      </c>
      <c r="B18" s="102" t="s">
        <v>694</v>
      </c>
      <c r="C18" s="67">
        <f>'2010年3月'!U18</f>
        <v>26.711499999999994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>
        <v>1</v>
      </c>
      <c r="K18" s="69"/>
      <c r="L18" s="70">
        <f t="shared" si="3"/>
        <v>-3.9781</v>
      </c>
      <c r="M18" s="68"/>
      <c r="N18" s="69"/>
      <c r="O18" s="70"/>
      <c r="P18" s="122"/>
      <c r="Q18" s="131"/>
      <c r="R18" s="70"/>
      <c r="S18" s="68"/>
      <c r="T18" s="72">
        <v>-5.3571</v>
      </c>
      <c r="U18" s="101">
        <f t="shared" si="0"/>
        <v>17.376299999999993</v>
      </c>
    </row>
    <row r="19" spans="1:21" ht="12.75">
      <c r="A19" s="2">
        <v>17</v>
      </c>
      <c r="B19" s="102" t="s">
        <v>205</v>
      </c>
      <c r="C19" s="67">
        <f>'2010年3月'!U19</f>
        <v>108.8937</v>
      </c>
      <c r="D19" s="68">
        <v>2</v>
      </c>
      <c r="E19" s="69"/>
      <c r="F19" s="70">
        <f t="shared" si="1"/>
        <v>-30.909</v>
      </c>
      <c r="G19" s="68">
        <v>3</v>
      </c>
      <c r="H19" s="69">
        <v>200</v>
      </c>
      <c r="I19" s="70">
        <f t="shared" si="2"/>
        <v>-42.5001</v>
      </c>
      <c r="J19" s="68">
        <v>2</v>
      </c>
      <c r="K19" s="69"/>
      <c r="L19" s="70">
        <f t="shared" si="3"/>
        <v>-7.9562</v>
      </c>
      <c r="M19" s="68"/>
      <c r="N19" s="69"/>
      <c r="O19" s="70"/>
      <c r="P19" s="122"/>
      <c r="Q19" s="131"/>
      <c r="R19" s="70"/>
      <c r="S19" s="73"/>
      <c r="T19" s="72">
        <v>-5.3571</v>
      </c>
      <c r="U19" s="101">
        <f t="shared" si="0"/>
        <v>222.17129999999997</v>
      </c>
    </row>
    <row r="20" spans="1:21" ht="12.75">
      <c r="A20" s="2">
        <v>18</v>
      </c>
      <c r="B20" s="102" t="s">
        <v>206</v>
      </c>
      <c r="C20" s="67">
        <f>'2010年3月'!U20</f>
        <v>44.3416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122"/>
      <c r="Q20" s="131"/>
      <c r="R20" s="70"/>
      <c r="S20" s="68"/>
      <c r="T20" s="72">
        <v>-5.3571</v>
      </c>
      <c r="U20" s="101">
        <f t="shared" si="0"/>
        <v>38.9845</v>
      </c>
    </row>
    <row r="21" spans="1:21" ht="12.75">
      <c r="A21" s="2">
        <v>19</v>
      </c>
      <c r="B21" s="103" t="s">
        <v>695</v>
      </c>
      <c r="C21" s="74">
        <f>'2010年3月'!U21</f>
        <v>41.5698</v>
      </c>
      <c r="D21" s="75">
        <v>1</v>
      </c>
      <c r="E21" s="76"/>
      <c r="F21" s="77">
        <f t="shared" si="1"/>
        <v>-15.4545</v>
      </c>
      <c r="G21" s="75">
        <v>1</v>
      </c>
      <c r="H21" s="76"/>
      <c r="I21" s="77">
        <f t="shared" si="2"/>
        <v>-14.1667</v>
      </c>
      <c r="J21" s="75">
        <v>1</v>
      </c>
      <c r="K21" s="76">
        <v>100</v>
      </c>
      <c r="L21" s="77">
        <f t="shared" si="3"/>
        <v>-3.9781</v>
      </c>
      <c r="M21" s="75"/>
      <c r="N21" s="76"/>
      <c r="O21" s="77"/>
      <c r="P21" s="124"/>
      <c r="Q21" s="133"/>
      <c r="R21" s="77"/>
      <c r="S21" s="80"/>
      <c r="T21" s="79">
        <v>-5.3571</v>
      </c>
      <c r="U21" s="101">
        <f t="shared" si="0"/>
        <v>102.6134</v>
      </c>
    </row>
    <row r="22" spans="1:21" ht="12.75">
      <c r="A22" s="2">
        <v>20</v>
      </c>
      <c r="B22" s="103" t="s">
        <v>208</v>
      </c>
      <c r="C22" s="74">
        <f>'2010年3月'!U22</f>
        <v>47.7692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v>-47.7692</v>
      </c>
      <c r="M22" s="75"/>
      <c r="N22" s="76"/>
      <c r="O22" s="77"/>
      <c r="P22" s="124"/>
      <c r="Q22" s="133"/>
      <c r="R22" s="77"/>
      <c r="S22" s="75"/>
      <c r="T22" s="79">
        <v>0</v>
      </c>
      <c r="U22" s="101">
        <f t="shared" si="0"/>
        <v>0</v>
      </c>
    </row>
    <row r="23" spans="1:21" ht="12.75">
      <c r="A23" s="2">
        <v>21</v>
      </c>
      <c r="B23" s="103" t="s">
        <v>209</v>
      </c>
      <c r="C23" s="74">
        <f>'2010年3月'!U23</f>
        <v>20.068800000000003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/>
      <c r="P23" s="124"/>
      <c r="Q23" s="133"/>
      <c r="R23" s="77"/>
      <c r="S23" s="80"/>
      <c r="T23" s="79">
        <v>-5.3571</v>
      </c>
      <c r="U23" s="101">
        <f t="shared" si="0"/>
        <v>14.711700000000004</v>
      </c>
    </row>
    <row r="24" spans="1:21" ht="12.75">
      <c r="A24" s="2">
        <v>22</v>
      </c>
      <c r="B24" s="106" t="s">
        <v>210</v>
      </c>
      <c r="C24" s="88">
        <f>'2010年3月'!U24</f>
        <v>91.90809999999999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-14.1667</v>
      </c>
      <c r="J24" s="89">
        <v>1</v>
      </c>
      <c r="K24" s="90"/>
      <c r="L24" s="91">
        <f t="shared" si="3"/>
        <v>-3.9781</v>
      </c>
      <c r="M24" s="89"/>
      <c r="N24" s="90"/>
      <c r="O24" s="91"/>
      <c r="P24" s="125"/>
      <c r="Q24" s="134"/>
      <c r="R24" s="91"/>
      <c r="S24" s="89"/>
      <c r="T24" s="93">
        <v>-5.3571</v>
      </c>
      <c r="U24" s="101">
        <f t="shared" si="0"/>
        <v>68.40619999999998</v>
      </c>
    </row>
    <row r="25" spans="1:21" ht="12.75">
      <c r="A25" s="2">
        <v>23</v>
      </c>
      <c r="B25" s="106" t="s">
        <v>211</v>
      </c>
      <c r="C25" s="88">
        <f>'2010年3月'!U25</f>
        <v>43.04379999999999</v>
      </c>
      <c r="D25" s="89">
        <v>1</v>
      </c>
      <c r="E25" s="90"/>
      <c r="F25" s="91">
        <f t="shared" si="1"/>
        <v>-15.4545</v>
      </c>
      <c r="G25" s="89">
        <v>1</v>
      </c>
      <c r="H25" s="90"/>
      <c r="I25" s="91">
        <f t="shared" si="2"/>
        <v>-14.1667</v>
      </c>
      <c r="J25" s="89">
        <v>1</v>
      </c>
      <c r="K25" s="90"/>
      <c r="L25" s="91">
        <f t="shared" si="3"/>
        <v>-3.9781</v>
      </c>
      <c r="M25" s="89"/>
      <c r="N25" s="90"/>
      <c r="O25" s="91"/>
      <c r="P25" s="125"/>
      <c r="Q25" s="134"/>
      <c r="R25" s="91"/>
      <c r="S25" s="89"/>
      <c r="T25" s="93">
        <v>-5.3571</v>
      </c>
      <c r="U25" s="101">
        <f t="shared" si="0"/>
        <v>4.087399999999991</v>
      </c>
    </row>
    <row r="26" spans="1:21" ht="12.75">
      <c r="A26" s="2">
        <v>24</v>
      </c>
      <c r="B26" s="106" t="s">
        <v>212</v>
      </c>
      <c r="C26" s="88">
        <f>'2010年3月'!U26</f>
        <v>-25.9287</v>
      </c>
      <c r="D26" s="89">
        <v>1</v>
      </c>
      <c r="E26" s="90">
        <v>100</v>
      </c>
      <c r="F26" s="91">
        <f t="shared" si="1"/>
        <v>-15.4545</v>
      </c>
      <c r="G26" s="89">
        <v>1</v>
      </c>
      <c r="H26" s="90"/>
      <c r="I26" s="91">
        <f t="shared" si="2"/>
        <v>-14.1667</v>
      </c>
      <c r="J26" s="89">
        <v>1</v>
      </c>
      <c r="K26" s="90"/>
      <c r="L26" s="91">
        <f t="shared" si="3"/>
        <v>-3.9781</v>
      </c>
      <c r="M26" s="89"/>
      <c r="N26" s="90"/>
      <c r="O26" s="91"/>
      <c r="P26" s="125"/>
      <c r="Q26" s="134"/>
      <c r="R26" s="91"/>
      <c r="S26" s="94"/>
      <c r="T26" s="93">
        <v>-5.3571</v>
      </c>
      <c r="U26" s="101">
        <f t="shared" si="0"/>
        <v>35.11490000000001</v>
      </c>
    </row>
    <row r="27" spans="1:21" ht="12.75">
      <c r="A27" s="2">
        <v>25</v>
      </c>
      <c r="B27" s="104" t="s">
        <v>696</v>
      </c>
      <c r="C27" s="81">
        <f>'2010年3月'!U27</f>
        <v>24.75359999999999</v>
      </c>
      <c r="D27" s="82">
        <v>1</v>
      </c>
      <c r="E27" s="98"/>
      <c r="F27" s="84">
        <f t="shared" si="1"/>
        <v>-15.4545</v>
      </c>
      <c r="G27" s="82">
        <v>1</v>
      </c>
      <c r="H27" s="98"/>
      <c r="I27" s="84">
        <f t="shared" si="2"/>
        <v>-14.1667</v>
      </c>
      <c r="J27" s="82">
        <v>1</v>
      </c>
      <c r="K27" s="98">
        <v>100</v>
      </c>
      <c r="L27" s="84">
        <f t="shared" si="3"/>
        <v>-3.9781</v>
      </c>
      <c r="M27" s="82"/>
      <c r="N27" s="98"/>
      <c r="O27" s="84"/>
      <c r="P27" s="127"/>
      <c r="Q27" s="136"/>
      <c r="R27" s="84"/>
      <c r="S27" s="82"/>
      <c r="T27" s="87">
        <v>-5.3571</v>
      </c>
      <c r="U27" s="101">
        <f t="shared" si="0"/>
        <v>85.79719999999999</v>
      </c>
    </row>
    <row r="28" spans="1:21" ht="12.75">
      <c r="A28" s="2">
        <v>26</v>
      </c>
      <c r="B28" s="104" t="s">
        <v>214</v>
      </c>
      <c r="C28" s="81">
        <f>'2010年3月'!U28</f>
        <v>12.090999999999998</v>
      </c>
      <c r="D28" s="86">
        <v>1</v>
      </c>
      <c r="E28" s="98"/>
      <c r="F28" s="84">
        <f t="shared" si="1"/>
        <v>-15.4545</v>
      </c>
      <c r="G28" s="86">
        <v>2</v>
      </c>
      <c r="H28" s="98"/>
      <c r="I28" s="84">
        <f t="shared" si="2"/>
        <v>-28.3334</v>
      </c>
      <c r="J28" s="86"/>
      <c r="K28" s="98"/>
      <c r="L28" s="84">
        <f t="shared" si="3"/>
        <v>0</v>
      </c>
      <c r="M28" s="86"/>
      <c r="N28" s="98"/>
      <c r="O28" s="84"/>
      <c r="P28" s="129"/>
      <c r="Q28" s="138"/>
      <c r="R28" s="84"/>
      <c r="S28" s="86"/>
      <c r="T28" s="87">
        <v>-5.3571</v>
      </c>
      <c r="U28" s="101">
        <f t="shared" si="0"/>
        <v>-37.054</v>
      </c>
    </row>
    <row r="29" spans="1:21" ht="12.75">
      <c r="A29" s="2">
        <v>27</v>
      </c>
      <c r="B29" s="104" t="s">
        <v>215</v>
      </c>
      <c r="C29" s="81">
        <f>'2010年3月'!U29</f>
        <v>60.5375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>
        <v>-60.5375</v>
      </c>
      <c r="L29" s="84">
        <f t="shared" si="3"/>
        <v>0</v>
      </c>
      <c r="M29" s="82"/>
      <c r="N29" s="83"/>
      <c r="O29" s="84"/>
      <c r="P29" s="127"/>
      <c r="Q29" s="136"/>
      <c r="R29" s="84"/>
      <c r="S29" s="82"/>
      <c r="T29" s="87">
        <v>0</v>
      </c>
      <c r="U29" s="101">
        <f t="shared" si="0"/>
        <v>0</v>
      </c>
    </row>
    <row r="30" spans="1:22" ht="12.75">
      <c r="A30" s="2">
        <v>28</v>
      </c>
      <c r="B30" s="105" t="s">
        <v>216</v>
      </c>
      <c r="C30" s="60">
        <f>'2010年3月'!U30</f>
        <v>36.587900000000005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-14.1667</v>
      </c>
      <c r="J30" s="66">
        <v>2</v>
      </c>
      <c r="K30" s="99"/>
      <c r="L30" s="63">
        <f t="shared" si="3"/>
        <v>-7.9562</v>
      </c>
      <c r="M30" s="66"/>
      <c r="N30" s="99"/>
      <c r="O30" s="63"/>
      <c r="P30" s="130"/>
      <c r="Q30" s="139"/>
      <c r="R30" s="63"/>
      <c r="S30" s="66"/>
      <c r="T30" s="65">
        <v>-5.3571</v>
      </c>
      <c r="U30" s="101">
        <f t="shared" si="0"/>
        <v>9.107900000000008</v>
      </c>
      <c r="V30" s="37"/>
    </row>
    <row r="31" spans="1:21" ht="12.75">
      <c r="A31" s="2">
        <v>29</v>
      </c>
      <c r="B31" s="105" t="s">
        <v>217</v>
      </c>
      <c r="C31" s="60">
        <f>'2010年3月'!U31</f>
        <v>49.38590000000001</v>
      </c>
      <c r="D31" s="61">
        <v>1</v>
      </c>
      <c r="E31" s="99"/>
      <c r="F31" s="63">
        <f t="shared" si="1"/>
        <v>-15.4545</v>
      </c>
      <c r="G31" s="61">
        <v>1</v>
      </c>
      <c r="H31" s="99"/>
      <c r="I31" s="63">
        <f t="shared" si="2"/>
        <v>-14.1667</v>
      </c>
      <c r="J31" s="61"/>
      <c r="K31" s="99"/>
      <c r="L31" s="63">
        <f t="shared" si="3"/>
        <v>0</v>
      </c>
      <c r="M31" s="61"/>
      <c r="N31" s="99"/>
      <c r="O31" s="63"/>
      <c r="P31" s="128"/>
      <c r="Q31" s="137"/>
      <c r="R31" s="63"/>
      <c r="S31" s="61"/>
      <c r="T31" s="65">
        <v>-5.3571</v>
      </c>
      <c r="U31" s="101">
        <f t="shared" si="0"/>
        <v>14.407600000000013</v>
      </c>
    </row>
    <row r="32" spans="1:21" ht="12.75">
      <c r="A32" s="2">
        <v>30</v>
      </c>
      <c r="B32" s="105" t="s">
        <v>218</v>
      </c>
      <c r="C32" s="60">
        <f>'2010年3月'!U32</f>
        <v>46.982699999999994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/>
      <c r="P32" s="130"/>
      <c r="Q32" s="139"/>
      <c r="R32" s="63"/>
      <c r="S32" s="66"/>
      <c r="T32" s="65">
        <v>-5.3571</v>
      </c>
      <c r="U32" s="101">
        <f t="shared" si="0"/>
        <v>41.62559999999999</v>
      </c>
    </row>
    <row r="33" spans="1:21" ht="12.75">
      <c r="A33" s="2">
        <v>31</v>
      </c>
      <c r="B33" s="102" t="s">
        <v>219</v>
      </c>
      <c r="C33" s="67">
        <f>'2010年3月'!U33</f>
        <v>64.1695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/>
      <c r="P33" s="122"/>
      <c r="Q33" s="131"/>
      <c r="R33" s="70"/>
      <c r="S33" s="68"/>
      <c r="T33" s="72">
        <v>-5.3571</v>
      </c>
      <c r="U33" s="101">
        <f t="shared" si="0"/>
        <v>58.8124</v>
      </c>
    </row>
    <row r="34" spans="1:21" ht="12.75">
      <c r="A34" s="2">
        <v>32</v>
      </c>
      <c r="B34" s="102" t="s">
        <v>513</v>
      </c>
      <c r="C34" s="67">
        <f>'2010年3月'!U34</f>
        <v>83.3276</v>
      </c>
      <c r="D34" s="68">
        <v>1</v>
      </c>
      <c r="E34" s="69"/>
      <c r="F34" s="70">
        <f t="shared" si="1"/>
        <v>-15.4545</v>
      </c>
      <c r="G34" s="120">
        <v>1</v>
      </c>
      <c r="H34" s="69">
        <v>200</v>
      </c>
      <c r="I34" s="70">
        <f t="shared" si="2"/>
        <v>-14.1667</v>
      </c>
      <c r="J34" s="120">
        <v>1</v>
      </c>
      <c r="K34" s="69"/>
      <c r="L34" s="70">
        <f t="shared" si="3"/>
        <v>-3.9781</v>
      </c>
      <c r="M34" s="68"/>
      <c r="N34" s="69"/>
      <c r="O34" s="70"/>
      <c r="P34" s="122"/>
      <c r="Q34" s="131"/>
      <c r="R34" s="70"/>
      <c r="S34" s="73"/>
      <c r="T34" s="72">
        <v>-5.3571</v>
      </c>
      <c r="U34" s="101">
        <f t="shared" si="0"/>
        <v>244.37120000000002</v>
      </c>
    </row>
    <row r="35" spans="1:21" ht="12.75">
      <c r="A35" s="2">
        <v>33</v>
      </c>
      <c r="B35" s="102" t="s">
        <v>221</v>
      </c>
      <c r="C35" s="67">
        <f>'2010年3月'!U35</f>
        <v>18.8014</v>
      </c>
      <c r="D35" s="68">
        <v>1</v>
      </c>
      <c r="E35" s="69"/>
      <c r="F35" s="70">
        <f t="shared" si="1"/>
        <v>-15.4545</v>
      </c>
      <c r="G35" s="68">
        <v>1</v>
      </c>
      <c r="H35" s="69">
        <v>100</v>
      </c>
      <c r="I35" s="70">
        <f t="shared" si="2"/>
        <v>-14.1667</v>
      </c>
      <c r="J35" s="68">
        <v>1</v>
      </c>
      <c r="K35" s="69"/>
      <c r="L35" s="70">
        <f t="shared" si="3"/>
        <v>-3.9781</v>
      </c>
      <c r="M35" s="68"/>
      <c r="N35" s="69"/>
      <c r="O35" s="70"/>
      <c r="P35" s="122"/>
      <c r="Q35" s="131"/>
      <c r="R35" s="70"/>
      <c r="S35" s="68"/>
      <c r="T35" s="72">
        <v>-5.3571</v>
      </c>
      <c r="U35" s="101">
        <f aca="true" t="shared" si="4" ref="U35:U53">C35+E35+F35+H35+I35+K35+L35+N35+O35+T35+Q35+R35</f>
        <v>79.845</v>
      </c>
    </row>
    <row r="36" spans="1:21" ht="12.75">
      <c r="A36" s="2">
        <v>34</v>
      </c>
      <c r="B36" s="103" t="s">
        <v>222</v>
      </c>
      <c r="C36" s="74">
        <f>'2010年3月'!U36</f>
        <v>6.338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/>
      <c r="P36" s="124"/>
      <c r="Q36" s="133"/>
      <c r="R36" s="77"/>
      <c r="S36" s="80"/>
      <c r="T36" s="79">
        <v>-5.3571</v>
      </c>
      <c r="U36" s="101">
        <f t="shared" si="4"/>
        <v>0.9809000000000001</v>
      </c>
    </row>
    <row r="37" spans="1:22" ht="12.75">
      <c r="A37" s="2">
        <v>35</v>
      </c>
      <c r="B37" s="103" t="s">
        <v>223</v>
      </c>
      <c r="C37" s="74">
        <f>'2010年3月'!U37</f>
        <v>76.32369999999999</v>
      </c>
      <c r="D37" s="75">
        <v>1</v>
      </c>
      <c r="E37" s="76"/>
      <c r="F37" s="77">
        <f t="shared" si="1"/>
        <v>-15.4545</v>
      </c>
      <c r="G37" s="75">
        <v>1</v>
      </c>
      <c r="H37" s="76"/>
      <c r="I37" s="77">
        <f t="shared" si="2"/>
        <v>-14.1667</v>
      </c>
      <c r="J37" s="75">
        <v>1</v>
      </c>
      <c r="K37" s="76"/>
      <c r="L37" s="77">
        <f t="shared" si="3"/>
        <v>-3.9781</v>
      </c>
      <c r="M37" s="75"/>
      <c r="N37" s="76"/>
      <c r="O37" s="77"/>
      <c r="P37" s="124"/>
      <c r="Q37" s="133"/>
      <c r="R37" s="77"/>
      <c r="S37" s="75"/>
      <c r="T37" s="79">
        <v>-5.3571</v>
      </c>
      <c r="U37" s="101">
        <f t="shared" si="4"/>
        <v>37.36729999999999</v>
      </c>
      <c r="V37" s="37"/>
    </row>
    <row r="38" spans="1:21" ht="12.75">
      <c r="A38" s="2">
        <v>36</v>
      </c>
      <c r="B38" s="103" t="s">
        <v>224</v>
      </c>
      <c r="C38" s="74">
        <f>'2010年3月'!U38</f>
        <v>17.3033</v>
      </c>
      <c r="D38" s="75">
        <v>1</v>
      </c>
      <c r="E38" s="76"/>
      <c r="F38" s="77">
        <f t="shared" si="1"/>
        <v>-15.4545</v>
      </c>
      <c r="G38" s="75">
        <v>1</v>
      </c>
      <c r="H38" s="76"/>
      <c r="I38" s="77">
        <f t="shared" si="2"/>
        <v>-14.1667</v>
      </c>
      <c r="J38" s="75">
        <v>1</v>
      </c>
      <c r="K38" s="76">
        <v>100</v>
      </c>
      <c r="L38" s="77">
        <f t="shared" si="3"/>
        <v>-3.9781</v>
      </c>
      <c r="M38" s="75"/>
      <c r="N38" s="76"/>
      <c r="O38" s="77"/>
      <c r="P38" s="124"/>
      <c r="Q38" s="133"/>
      <c r="R38" s="77"/>
      <c r="S38" s="80"/>
      <c r="T38" s="79">
        <v>-5.3571</v>
      </c>
      <c r="U38" s="101">
        <f t="shared" si="4"/>
        <v>78.3469</v>
      </c>
    </row>
    <row r="39" spans="1:21" ht="12.75">
      <c r="A39" s="2">
        <v>37</v>
      </c>
      <c r="B39" s="106" t="s">
        <v>225</v>
      </c>
      <c r="C39" s="88">
        <f>'2010年3月'!U39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>
        <v>-74.5671</v>
      </c>
      <c r="L39" s="91">
        <f t="shared" si="3"/>
        <v>0</v>
      </c>
      <c r="M39" s="89"/>
      <c r="N39" s="90"/>
      <c r="O39" s="91"/>
      <c r="P39" s="125"/>
      <c r="Q39" s="134"/>
      <c r="R39" s="91"/>
      <c r="S39" s="89"/>
      <c r="T39" s="93">
        <v>0</v>
      </c>
      <c r="U39" s="101">
        <f t="shared" si="4"/>
        <v>0</v>
      </c>
    </row>
    <row r="40" spans="1:21" ht="12.75">
      <c r="A40" s="2">
        <v>38</v>
      </c>
      <c r="B40" s="106" t="s">
        <v>226</v>
      </c>
      <c r="C40" s="88">
        <f>'2010年3月'!U40</f>
        <v>72.83779999999999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v>-30</v>
      </c>
      <c r="M40" s="89"/>
      <c r="N40" s="90"/>
      <c r="O40" s="91"/>
      <c r="P40" s="125"/>
      <c r="Q40" s="134"/>
      <c r="R40" s="91"/>
      <c r="S40" s="89"/>
      <c r="T40" s="93">
        <v>-5.3571</v>
      </c>
      <c r="U40" s="101">
        <f t="shared" si="4"/>
        <v>37.480699999999985</v>
      </c>
    </row>
    <row r="41" spans="1:21" ht="12.75">
      <c r="A41" s="2">
        <v>39</v>
      </c>
      <c r="B41" s="106" t="s">
        <v>227</v>
      </c>
      <c r="C41" s="88">
        <f>'2010年3月'!U41</f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v>-0.03</v>
      </c>
      <c r="M41" s="89"/>
      <c r="N41" s="90"/>
      <c r="O41" s="91"/>
      <c r="P41" s="125"/>
      <c r="Q41" s="134"/>
      <c r="R41" s="91"/>
      <c r="S41" s="89"/>
      <c r="T41" s="93">
        <v>0</v>
      </c>
      <c r="U41" s="101">
        <f t="shared" si="4"/>
        <v>0</v>
      </c>
    </row>
    <row r="42" spans="1:21" ht="12.75">
      <c r="A42" s="2">
        <v>40</v>
      </c>
      <c r="B42" s="104" t="s">
        <v>228</v>
      </c>
      <c r="C42" s="81">
        <f>'2010年3月'!U42</f>
        <v>17.7322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v>-17.7322</v>
      </c>
      <c r="M42" s="82"/>
      <c r="N42" s="98"/>
      <c r="O42" s="84"/>
      <c r="P42" s="127"/>
      <c r="Q42" s="136"/>
      <c r="R42" s="84"/>
      <c r="S42" s="82"/>
      <c r="T42" s="87">
        <v>0</v>
      </c>
      <c r="U42" s="101">
        <f t="shared" si="4"/>
        <v>0</v>
      </c>
    </row>
    <row r="43" spans="1:21" ht="12.75">
      <c r="A43" s="2">
        <v>41</v>
      </c>
      <c r="B43" s="104" t="s">
        <v>229</v>
      </c>
      <c r="C43" s="81">
        <f>'2010年3月'!U43</f>
        <v>4.4363</v>
      </c>
      <c r="D43" s="86">
        <v>1</v>
      </c>
      <c r="E43" s="98"/>
      <c r="F43" s="84">
        <f t="shared" si="1"/>
        <v>-15.4545</v>
      </c>
      <c r="G43" s="86">
        <v>1</v>
      </c>
      <c r="H43" s="98">
        <v>100</v>
      </c>
      <c r="I43" s="84">
        <f t="shared" si="2"/>
        <v>-14.1667</v>
      </c>
      <c r="J43" s="86">
        <v>1</v>
      </c>
      <c r="K43" s="98"/>
      <c r="L43" s="84">
        <f t="shared" si="3"/>
        <v>-3.9781</v>
      </c>
      <c r="M43" s="86"/>
      <c r="N43" s="98"/>
      <c r="O43" s="84"/>
      <c r="P43" s="129"/>
      <c r="Q43" s="138"/>
      <c r="R43" s="84"/>
      <c r="S43" s="86"/>
      <c r="T43" s="87">
        <v>-5.3571</v>
      </c>
      <c r="U43" s="101">
        <f t="shared" si="4"/>
        <v>65.47989999999999</v>
      </c>
    </row>
    <row r="44" spans="1:21" ht="12.75">
      <c r="A44" s="2">
        <v>42</v>
      </c>
      <c r="B44" s="104" t="s">
        <v>697</v>
      </c>
      <c r="C44" s="81">
        <f>'2010年3月'!U44</f>
        <v>17.625699999999988</v>
      </c>
      <c r="D44" s="86"/>
      <c r="E44" s="98"/>
      <c r="F44" s="84">
        <f t="shared" si="1"/>
        <v>0</v>
      </c>
      <c r="G44" s="86">
        <v>1</v>
      </c>
      <c r="H44" s="98"/>
      <c r="I44" s="84">
        <f t="shared" si="2"/>
        <v>-14.1667</v>
      </c>
      <c r="J44" s="86">
        <v>1</v>
      </c>
      <c r="K44" s="98">
        <v>100</v>
      </c>
      <c r="L44" s="84">
        <f t="shared" si="3"/>
        <v>-3.9781</v>
      </c>
      <c r="M44" s="86"/>
      <c r="N44" s="98"/>
      <c r="O44" s="84"/>
      <c r="P44" s="129"/>
      <c r="Q44" s="138"/>
      <c r="R44" s="84"/>
      <c r="S44" s="86"/>
      <c r="T44" s="87">
        <v>-5.3571</v>
      </c>
      <c r="U44" s="101">
        <f t="shared" si="4"/>
        <v>94.12379999999999</v>
      </c>
    </row>
    <row r="45" spans="1:21" ht="12.75">
      <c r="A45" s="2">
        <v>43</v>
      </c>
      <c r="B45" s="105" t="s">
        <v>231</v>
      </c>
      <c r="C45" s="60">
        <f>'2010年3月'!U45</f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v>-6.039</v>
      </c>
      <c r="M45" s="66"/>
      <c r="N45" s="99"/>
      <c r="O45" s="63"/>
      <c r="P45" s="130"/>
      <c r="Q45" s="139"/>
      <c r="R45" s="63"/>
      <c r="S45" s="66"/>
      <c r="T45" s="65">
        <v>0</v>
      </c>
      <c r="U45" s="101">
        <f t="shared" si="4"/>
        <v>0</v>
      </c>
    </row>
    <row r="46" spans="1:21" ht="12.75">
      <c r="A46" s="2">
        <v>44</v>
      </c>
      <c r="B46" s="109">
        <v>9631</v>
      </c>
      <c r="C46" s="60">
        <f>'2010年3月'!U46</f>
        <v>19.657200000000003</v>
      </c>
      <c r="D46" s="61">
        <v>1</v>
      </c>
      <c r="E46" s="99"/>
      <c r="F46" s="63">
        <f t="shared" si="1"/>
        <v>-15.4545</v>
      </c>
      <c r="G46" s="61">
        <v>1</v>
      </c>
      <c r="H46" s="99">
        <v>100</v>
      </c>
      <c r="I46" s="63">
        <f t="shared" si="2"/>
        <v>-14.1667</v>
      </c>
      <c r="J46" s="61">
        <v>1</v>
      </c>
      <c r="K46" s="99"/>
      <c r="L46" s="63">
        <f t="shared" si="3"/>
        <v>-3.9781</v>
      </c>
      <c r="M46" s="61"/>
      <c r="N46" s="99"/>
      <c r="O46" s="63"/>
      <c r="P46" s="128"/>
      <c r="Q46" s="137"/>
      <c r="R46" s="63"/>
      <c r="S46" s="61"/>
      <c r="T46" s="65">
        <v>-5.3571</v>
      </c>
      <c r="U46" s="101">
        <f t="shared" si="4"/>
        <v>80.7008</v>
      </c>
    </row>
    <row r="47" spans="1:21" ht="12.75">
      <c r="A47" s="2">
        <v>45</v>
      </c>
      <c r="B47" s="105" t="s">
        <v>232</v>
      </c>
      <c r="C47" s="60">
        <f>'2010年3月'!U47</f>
        <v>53.949499999999986</v>
      </c>
      <c r="D47" s="66">
        <v>1</v>
      </c>
      <c r="E47" s="99"/>
      <c r="F47" s="63">
        <f t="shared" si="1"/>
        <v>-15.4545</v>
      </c>
      <c r="G47" s="66">
        <v>1</v>
      </c>
      <c r="H47" s="99"/>
      <c r="I47" s="63">
        <f t="shared" si="2"/>
        <v>-14.1667</v>
      </c>
      <c r="J47" s="66">
        <v>1</v>
      </c>
      <c r="K47" s="99">
        <v>100</v>
      </c>
      <c r="L47" s="63">
        <f t="shared" si="3"/>
        <v>-3.9781</v>
      </c>
      <c r="M47" s="66"/>
      <c r="N47" s="99"/>
      <c r="O47" s="63"/>
      <c r="P47" s="130"/>
      <c r="Q47" s="139"/>
      <c r="R47" s="63"/>
      <c r="S47" s="66"/>
      <c r="T47" s="65">
        <v>-5.3571</v>
      </c>
      <c r="U47" s="101">
        <f t="shared" si="4"/>
        <v>114.99309999999998</v>
      </c>
    </row>
    <row r="48" spans="1:21" ht="12.75">
      <c r="A48" s="2">
        <v>46</v>
      </c>
      <c r="B48" s="102" t="s">
        <v>507</v>
      </c>
      <c r="C48" s="67">
        <f>'2010年3月'!U48</f>
        <v>7.255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/>
      <c r="P48" s="122"/>
      <c r="Q48" s="140"/>
      <c r="R48" s="70"/>
      <c r="S48" s="68"/>
      <c r="T48" s="72">
        <v>-5.3571</v>
      </c>
      <c r="U48" s="101">
        <f t="shared" si="4"/>
        <v>1.8979</v>
      </c>
    </row>
    <row r="49" spans="1:21" ht="12.75">
      <c r="A49" s="2">
        <v>47</v>
      </c>
      <c r="B49" s="102" t="s">
        <v>508</v>
      </c>
      <c r="C49" s="67">
        <f>'2010年3月'!U49</f>
        <v>35.394299999999994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/>
      <c r="P49" s="122"/>
      <c r="Q49" s="140"/>
      <c r="R49" s="70"/>
      <c r="S49" s="73"/>
      <c r="T49" s="72">
        <v>-5.3571</v>
      </c>
      <c r="U49" s="101">
        <f t="shared" si="4"/>
        <v>30.037199999999995</v>
      </c>
    </row>
    <row r="50" spans="1:21" ht="12.75">
      <c r="A50" s="2">
        <v>48</v>
      </c>
      <c r="B50" s="102" t="s">
        <v>509</v>
      </c>
      <c r="C50" s="67">
        <f>'2010年3月'!U50</f>
        <v>56.8558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/>
      <c r="P50" s="122"/>
      <c r="Q50" s="140"/>
      <c r="R50" s="70"/>
      <c r="S50" s="68"/>
      <c r="T50" s="72">
        <v>-5.3571</v>
      </c>
      <c r="U50" s="101">
        <f t="shared" si="4"/>
        <v>51.4987</v>
      </c>
    </row>
    <row r="51" spans="1:21" ht="12.75">
      <c r="A51" s="2">
        <v>49</v>
      </c>
      <c r="B51" s="103" t="s">
        <v>510</v>
      </c>
      <c r="C51" s="74">
        <f>'2010年3月'!U51</f>
        <v>-3.7897000000000003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>
        <v>1</v>
      </c>
      <c r="K51" s="96"/>
      <c r="L51" s="77">
        <f>-3.9781*J51-10</f>
        <v>-13.9781</v>
      </c>
      <c r="M51" s="75"/>
      <c r="N51" s="96"/>
      <c r="O51" s="77"/>
      <c r="P51" s="75"/>
      <c r="Q51" s="96"/>
      <c r="R51" s="77"/>
      <c r="S51" s="80"/>
      <c r="T51" s="79">
        <v>-5.3571</v>
      </c>
      <c r="U51" s="101">
        <f t="shared" si="4"/>
        <v>-23.1249</v>
      </c>
    </row>
    <row r="52" spans="1:21" ht="12.75">
      <c r="A52" s="2">
        <v>50</v>
      </c>
      <c r="B52" s="103" t="s">
        <v>511</v>
      </c>
      <c r="C52" s="74">
        <f>'2010年3月'!U52</f>
        <v>28.0512</v>
      </c>
      <c r="D52" s="80">
        <v>1</v>
      </c>
      <c r="E52" s="96"/>
      <c r="F52" s="77">
        <f t="shared" si="1"/>
        <v>-15.4545</v>
      </c>
      <c r="G52" s="80"/>
      <c r="H52" s="96"/>
      <c r="I52" s="77">
        <f t="shared" si="2"/>
        <v>0</v>
      </c>
      <c r="J52" s="80">
        <v>1</v>
      </c>
      <c r="K52" s="96"/>
      <c r="L52" s="77">
        <f>-3.9781*J52-10</f>
        <v>-13.9781</v>
      </c>
      <c r="M52" s="80"/>
      <c r="N52" s="96"/>
      <c r="O52" s="77"/>
      <c r="P52" s="80"/>
      <c r="Q52" s="96"/>
      <c r="R52" s="77"/>
      <c r="S52" s="75"/>
      <c r="T52" s="79">
        <v>-5.3571</v>
      </c>
      <c r="U52" s="101">
        <f t="shared" si="4"/>
        <v>-6.7384999999999975</v>
      </c>
    </row>
    <row r="53" spans="1:21" ht="12.75">
      <c r="A53" s="2">
        <v>51</v>
      </c>
      <c r="B53" s="116">
        <v>2007</v>
      </c>
      <c r="C53" s="74">
        <f>'2010年3月'!U53</f>
        <v>34.2028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/>
      <c r="P53" s="75"/>
      <c r="Q53" s="96"/>
      <c r="R53" s="77"/>
      <c r="S53" s="75"/>
      <c r="T53" s="79">
        <v>-5.3571</v>
      </c>
      <c r="U53" s="101">
        <f t="shared" si="4"/>
        <v>28.845700000000004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15.454545454545455</v>
      </c>
      <c r="G55" s="1">
        <f>SUM(G3:G53)</f>
        <v>24</v>
      </c>
      <c r="I55" s="1">
        <f>H66/G55</f>
        <v>14.166666666666666</v>
      </c>
      <c r="J55" s="1">
        <f>SUM(J3:J53)</f>
        <v>26</v>
      </c>
      <c r="L55" s="1">
        <f>K66/J55</f>
        <v>3.9780769230769235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SUM(T3:T53)</f>
        <v>-224.99820000000008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-339.99899999999997</v>
      </c>
      <c r="H57" s="37" t="s">
        <v>235</v>
      </c>
      <c r="I57" s="1">
        <f>SUM(I3:I53)</f>
        <v>-340.0007999999999</v>
      </c>
      <c r="K57" s="37" t="s">
        <v>235</v>
      </c>
      <c r="L57" s="1">
        <f>SUM(L3:L53)</f>
        <v>-225.00100000000003</v>
      </c>
      <c r="N57" s="37" t="s">
        <v>235</v>
      </c>
      <c r="O57" s="1">
        <f>SUM(O3:O53)</f>
        <v>0</v>
      </c>
      <c r="Q57" s="37" t="s">
        <v>235</v>
      </c>
      <c r="R57" s="1">
        <f>SUM(R3:R53)</f>
        <v>0</v>
      </c>
      <c r="U57" s="24"/>
    </row>
    <row r="58" spans="2:21" ht="12.75">
      <c r="B58" s="41" t="s">
        <v>236</v>
      </c>
      <c r="C58" s="36">
        <f>SUM(C3:C53)</f>
        <v>1910</v>
      </c>
      <c r="E58" s="41"/>
      <c r="H58" s="41"/>
      <c r="K58" s="41"/>
      <c r="N58" s="41"/>
      <c r="Q58" s="41"/>
      <c r="U58" s="24"/>
    </row>
    <row r="59" spans="19:23" ht="12.75">
      <c r="S59" s="151" t="s">
        <v>8</v>
      </c>
      <c r="T59" s="151"/>
      <c r="U59" s="56">
        <f>SUM(U3:U53)</f>
        <v>2500</v>
      </c>
      <c r="W59" s="121">
        <f>U59</f>
        <v>2500</v>
      </c>
    </row>
    <row r="60" spans="4:20" ht="12.75" customHeight="1">
      <c r="D60" s="155" t="s">
        <v>698</v>
      </c>
      <c r="E60" s="161"/>
      <c r="F60" s="162"/>
      <c r="G60" s="155" t="s">
        <v>699</v>
      </c>
      <c r="H60" s="161"/>
      <c r="I60" s="162"/>
      <c r="J60" s="155" t="s">
        <v>700</v>
      </c>
      <c r="K60" s="161"/>
      <c r="L60" s="162"/>
      <c r="M60" s="155"/>
      <c r="N60" s="161"/>
      <c r="O60" s="162"/>
      <c r="P60" s="155"/>
      <c r="Q60" s="161"/>
      <c r="R60" s="162"/>
      <c r="S60" s="170" t="s">
        <v>708</v>
      </c>
      <c r="T60" s="170"/>
    </row>
    <row r="61" spans="4:20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  <c r="S61" s="170"/>
      <c r="T61" s="170"/>
    </row>
    <row r="62" spans="4:20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  <c r="S62" s="170"/>
      <c r="T62" s="170"/>
    </row>
    <row r="63" spans="4:20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  <c r="S63" s="170"/>
      <c r="T63" s="170"/>
    </row>
    <row r="64" spans="4:20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  <c r="S64" s="170"/>
      <c r="T64" s="170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340</v>
      </c>
      <c r="F66" s="51"/>
      <c r="G66" s="52" t="s">
        <v>238</v>
      </c>
      <c r="H66" s="50">
        <f>H68-H84-H93</f>
        <v>340</v>
      </c>
      <c r="I66" s="51"/>
      <c r="J66" s="52" t="s">
        <v>238</v>
      </c>
      <c r="K66" s="50">
        <f>K68-K84-K93-0.03-6.04-17.73-47.77-30</f>
        <v>103.43</v>
      </c>
      <c r="L66" s="51"/>
      <c r="M66" s="52"/>
      <c r="N66" s="50"/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340</v>
      </c>
      <c r="F68" s="55"/>
      <c r="G68" s="110" t="s">
        <v>237</v>
      </c>
      <c r="H68" s="54">
        <v>340</v>
      </c>
      <c r="I68" s="55"/>
      <c r="J68" s="110" t="s">
        <v>237</v>
      </c>
      <c r="K68" s="54">
        <v>225</v>
      </c>
      <c r="L68" s="55"/>
      <c r="M68" s="110"/>
      <c r="N68" s="54"/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142" t="s">
        <v>704</v>
      </c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169" t="s">
        <v>705</v>
      </c>
      <c r="M72" s="37"/>
      <c r="P72" s="37"/>
    </row>
    <row r="74" spans="4:18" ht="12.75" customHeight="1">
      <c r="D74" s="149"/>
      <c r="E74" s="149"/>
      <c r="F74" s="149"/>
      <c r="G74" s="149"/>
      <c r="H74" s="149"/>
      <c r="I74" s="149"/>
      <c r="J74" s="149" t="s">
        <v>707</v>
      </c>
      <c r="K74" s="149"/>
      <c r="L74" s="149"/>
      <c r="M74" s="149"/>
      <c r="N74" s="149"/>
      <c r="O74" s="149"/>
      <c r="P74" s="149"/>
      <c r="Q74" s="149"/>
      <c r="R74" s="14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13.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4:18" ht="12.75" customHeight="1">
      <c r="D77" s="149"/>
      <c r="E77" s="149"/>
      <c r="F77" s="149"/>
      <c r="G77" s="149"/>
      <c r="H77" s="149"/>
      <c r="I77" s="149"/>
      <c r="J77" s="149" t="s">
        <v>706</v>
      </c>
      <c r="K77" s="149"/>
      <c r="L77" s="149"/>
      <c r="M77" s="149"/>
      <c r="N77" s="149"/>
      <c r="O77" s="149"/>
      <c r="P77" s="149"/>
      <c r="Q77" s="149"/>
      <c r="R77" s="149"/>
    </row>
    <row r="78" spans="4:18" ht="12.7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4:18" ht="14.25" customHeight="1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4:17" ht="12.75">
      <c r="D80" s="153" t="s">
        <v>239</v>
      </c>
      <c r="E80" s="154"/>
      <c r="G80" s="153" t="s">
        <v>239</v>
      </c>
      <c r="H80" s="154"/>
      <c r="J80" s="153" t="s">
        <v>239</v>
      </c>
      <c r="K80" s="154"/>
      <c r="M80" s="153"/>
      <c r="N80" s="154"/>
      <c r="P80" s="153"/>
      <c r="Q80" s="154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0</v>
      </c>
      <c r="H84" s="37">
        <f>SUM(H82:H83)</f>
        <v>0</v>
      </c>
      <c r="K84" s="37">
        <f>SUM(K82:K83)</f>
        <v>0</v>
      </c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240</v>
      </c>
      <c r="E87" s="154"/>
      <c r="G87" s="153" t="s">
        <v>240</v>
      </c>
      <c r="H87" s="154"/>
      <c r="J87" s="153" t="s">
        <v>240</v>
      </c>
      <c r="K87" s="154"/>
      <c r="M87" s="153"/>
      <c r="N87" s="154"/>
      <c r="P87" s="153"/>
      <c r="Q87" s="154"/>
    </row>
    <row r="88" spans="4:16" ht="12.75">
      <c r="D88" s="37"/>
      <c r="G88" s="37"/>
      <c r="J88" s="37"/>
      <c r="M88" s="37"/>
      <c r="P88" s="37"/>
    </row>
    <row r="89" spans="4:16" ht="12.75">
      <c r="D89" s="141"/>
      <c r="G89" s="141"/>
      <c r="J89" s="141" t="s">
        <v>701</v>
      </c>
      <c r="K89" s="1">
        <v>10</v>
      </c>
      <c r="M89" s="107"/>
      <c r="P89" s="141"/>
    </row>
    <row r="90" spans="10:11" ht="12.75">
      <c r="J90" s="37" t="s">
        <v>702</v>
      </c>
      <c r="K90" s="1">
        <v>10</v>
      </c>
    </row>
    <row r="93" ht="12.75">
      <c r="K93" s="1">
        <f>SUM(K89:K92)</f>
        <v>20</v>
      </c>
    </row>
    <row r="95" spans="4:18" ht="12.75" customHeight="1">
      <c r="D95" s="152" t="s">
        <v>514</v>
      </c>
      <c r="E95" s="152"/>
      <c r="F95" s="152"/>
      <c r="G95" s="152" t="s">
        <v>514</v>
      </c>
      <c r="H95" s="152"/>
      <c r="I95" s="152"/>
      <c r="J95" s="152" t="s">
        <v>514</v>
      </c>
      <c r="K95" s="152"/>
      <c r="L95" s="152"/>
      <c r="M95" s="152"/>
      <c r="N95" s="152"/>
      <c r="O95" s="152"/>
      <c r="P95" s="152"/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 t="s">
        <v>703</v>
      </c>
      <c r="K99" s="37"/>
      <c r="L99" s="59"/>
      <c r="M99" s="59"/>
      <c r="N99" s="37"/>
      <c r="O99" s="59"/>
      <c r="P99" s="107"/>
      <c r="Q99" s="37"/>
      <c r="R99" s="59"/>
    </row>
    <row r="102" spans="4:18" ht="12.75">
      <c r="D102" s="156" t="s">
        <v>238</v>
      </c>
      <c r="E102" s="154"/>
      <c r="F102" s="154"/>
      <c r="G102" s="156" t="s">
        <v>238</v>
      </c>
      <c r="H102" s="154"/>
      <c r="I102" s="154"/>
      <c r="J102" s="156" t="s">
        <v>238</v>
      </c>
      <c r="K102" s="154"/>
      <c r="L102" s="154"/>
      <c r="M102" s="156"/>
      <c r="N102" s="154"/>
      <c r="O102" s="154"/>
      <c r="P102" s="156"/>
      <c r="Q102" s="154"/>
      <c r="R102" s="154"/>
    </row>
    <row r="103" spans="4:18" ht="12.75"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</row>
    <row r="104" spans="7:12" ht="12.75">
      <c r="G104" s="37"/>
      <c r="K104" s="153"/>
      <c r="L104" s="153"/>
    </row>
    <row r="105" spans="10:12" ht="12.75">
      <c r="J105" s="37"/>
      <c r="K105" s="153"/>
      <c r="L105" s="154"/>
    </row>
    <row r="106" spans="10:12" ht="12.75">
      <c r="J106" s="37"/>
      <c r="K106" s="153"/>
      <c r="L106" s="154"/>
    </row>
    <row r="107" spans="11:12" ht="12.75">
      <c r="K107" s="153"/>
      <c r="L107" s="154"/>
    </row>
    <row r="108" spans="10:12" ht="12.75">
      <c r="J108" s="37"/>
      <c r="K108" s="153"/>
      <c r="L108" s="154"/>
    </row>
    <row r="109" spans="10:12" ht="12.75">
      <c r="J109" s="37"/>
      <c r="K109" s="153"/>
      <c r="L109" s="154"/>
    </row>
    <row r="110" spans="10:12" ht="12.75">
      <c r="J110" s="37"/>
      <c r="K110" s="153"/>
      <c r="L110" s="154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K65" sqref="K65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39663</v>
      </c>
      <c r="F1" s="19"/>
      <c r="G1" s="18"/>
      <c r="H1" s="32">
        <v>39669</v>
      </c>
      <c r="I1" s="19"/>
      <c r="J1" s="44"/>
      <c r="K1" s="32">
        <v>39676</v>
      </c>
      <c r="L1" s="45"/>
      <c r="M1" s="18"/>
      <c r="N1" s="32">
        <v>39690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'2008年7月'!R3</f>
        <v>43.645999999999994</v>
      </c>
      <c r="D3" s="68">
        <v>1</v>
      </c>
      <c r="E3" s="69"/>
      <c r="F3" s="70">
        <f>-7.368*D3</f>
        <v>-7.368</v>
      </c>
      <c r="G3" s="71">
        <v>1</v>
      </c>
      <c r="H3" s="69"/>
      <c r="I3" s="70">
        <f>-9.375*G3</f>
        <v>-9.375</v>
      </c>
      <c r="J3" s="68">
        <v>1</v>
      </c>
      <c r="K3" s="69"/>
      <c r="L3" s="70">
        <f>-6.429*J3</f>
        <v>-6.429</v>
      </c>
      <c r="M3" s="68">
        <v>1</v>
      </c>
      <c r="N3" s="69"/>
      <c r="O3" s="70">
        <f>-5*M3</f>
        <v>-5</v>
      </c>
      <c r="P3" s="68"/>
      <c r="Q3" s="72"/>
      <c r="R3" s="101">
        <f aca="true" t="shared" si="0" ref="R3:R31">C3+E3+F3+H3+I3+K3+L3+N3+O3+Q3</f>
        <v>15.47399999999999</v>
      </c>
    </row>
    <row r="4" spans="1:18" ht="12.75">
      <c r="A4" s="2">
        <v>2</v>
      </c>
      <c r="B4" s="100" t="s">
        <v>3</v>
      </c>
      <c r="C4" s="67">
        <f>'2008年7月'!R4</f>
        <v>64.233</v>
      </c>
      <c r="D4" s="68">
        <v>1</v>
      </c>
      <c r="E4" s="69"/>
      <c r="F4" s="70">
        <f>-7.368*D4</f>
        <v>-7.368</v>
      </c>
      <c r="G4" s="71">
        <v>1</v>
      </c>
      <c r="H4" s="69"/>
      <c r="I4" s="70">
        <f>-9.375*G4</f>
        <v>-9.375</v>
      </c>
      <c r="J4" s="68"/>
      <c r="K4" s="69"/>
      <c r="L4" s="70">
        <f>-6.429*J4</f>
        <v>0</v>
      </c>
      <c r="M4" s="68">
        <v>1</v>
      </c>
      <c r="N4" s="69"/>
      <c r="O4" s="70">
        <f>-5*M4</f>
        <v>-5</v>
      </c>
      <c r="P4" s="73"/>
      <c r="Q4" s="72"/>
      <c r="R4" s="101">
        <f t="shared" si="0"/>
        <v>42.49</v>
      </c>
    </row>
    <row r="5" spans="1:18" ht="12.75">
      <c r="A5" s="2">
        <v>3</v>
      </c>
      <c r="B5" s="102" t="s">
        <v>13</v>
      </c>
      <c r="C5" s="67">
        <f>'2008年7月'!R5</f>
        <v>64.163</v>
      </c>
      <c r="D5" s="68"/>
      <c r="E5" s="69"/>
      <c r="F5" s="70">
        <f aca="true" t="shared" si="1" ref="F5:F27">-7.368*D5</f>
        <v>0</v>
      </c>
      <c r="G5" s="71"/>
      <c r="H5" s="69"/>
      <c r="I5" s="70">
        <f aca="true" t="shared" si="2" ref="I5:I27">-9.375*G5</f>
        <v>0</v>
      </c>
      <c r="J5" s="68">
        <v>1</v>
      </c>
      <c r="K5" s="69"/>
      <c r="L5" s="70">
        <f>-6.429*J5-10</f>
        <v>-16.429000000000002</v>
      </c>
      <c r="M5" s="68"/>
      <c r="N5" s="69"/>
      <c r="O5" s="70">
        <f>-5*M5-0</f>
        <v>0</v>
      </c>
      <c r="P5" s="68"/>
      <c r="Q5" s="72"/>
      <c r="R5" s="101">
        <f t="shared" si="0"/>
        <v>47.733999999999995</v>
      </c>
    </row>
    <row r="6" spans="1:20" ht="12.75">
      <c r="A6" s="2">
        <v>4</v>
      </c>
      <c r="B6" s="103" t="s">
        <v>20</v>
      </c>
      <c r="C6" s="74">
        <f>'2008年7月'!R6</f>
        <v>60.363</v>
      </c>
      <c r="D6" s="80"/>
      <c r="E6" s="76"/>
      <c r="F6" s="77">
        <f t="shared" si="1"/>
        <v>0</v>
      </c>
      <c r="G6" s="78"/>
      <c r="H6" s="76"/>
      <c r="I6" s="77">
        <f t="shared" si="2"/>
        <v>0</v>
      </c>
      <c r="J6" s="75"/>
      <c r="K6" s="76"/>
      <c r="L6" s="77">
        <f aca="true" t="shared" si="3" ref="L6:L28">-6.429*J6</f>
        <v>0</v>
      </c>
      <c r="M6" s="75"/>
      <c r="N6" s="76"/>
      <c r="O6" s="77">
        <f>-6.429*M6</f>
        <v>0</v>
      </c>
      <c r="P6" s="80"/>
      <c r="Q6" s="79"/>
      <c r="R6" s="40">
        <f t="shared" si="0"/>
        <v>60.363</v>
      </c>
      <c r="T6" s="37"/>
    </row>
    <row r="7" spans="1:18" ht="12.75">
      <c r="A7" s="2">
        <v>5</v>
      </c>
      <c r="B7" s="103" t="s">
        <v>46</v>
      </c>
      <c r="C7" s="74">
        <f>'2008年7月'!R7</f>
        <v>66.983</v>
      </c>
      <c r="D7" s="75">
        <v>1</v>
      </c>
      <c r="E7" s="76"/>
      <c r="F7" s="77">
        <f t="shared" si="1"/>
        <v>-7.368</v>
      </c>
      <c r="G7" s="78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>-6.429*M7</f>
        <v>0</v>
      </c>
      <c r="P7" s="75"/>
      <c r="Q7" s="79"/>
      <c r="R7" s="40">
        <f t="shared" si="0"/>
        <v>59.615</v>
      </c>
    </row>
    <row r="8" spans="1:18" ht="12.75">
      <c r="A8" s="2">
        <v>6</v>
      </c>
      <c r="B8" s="103" t="s">
        <v>47</v>
      </c>
      <c r="C8" s="74">
        <f>'2008年7月'!R8</f>
        <v>60.313</v>
      </c>
      <c r="D8" s="75">
        <v>1</v>
      </c>
      <c r="E8" s="76"/>
      <c r="F8" s="77">
        <f t="shared" si="1"/>
        <v>-7.368</v>
      </c>
      <c r="G8" s="78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>-5*M8</f>
        <v>-5</v>
      </c>
      <c r="P8" s="80"/>
      <c r="Q8" s="79"/>
      <c r="R8" s="39">
        <f t="shared" si="0"/>
        <v>47.945</v>
      </c>
    </row>
    <row r="9" spans="1:18" ht="12.75">
      <c r="A9" s="2">
        <v>7</v>
      </c>
      <c r="B9" s="106" t="s">
        <v>48</v>
      </c>
      <c r="C9" s="88">
        <f>'2008年7月'!R9</f>
        <v>79.483</v>
      </c>
      <c r="D9" s="89"/>
      <c r="E9" s="90"/>
      <c r="F9" s="91">
        <f t="shared" si="1"/>
        <v>0</v>
      </c>
      <c r="G9" s="92">
        <v>1</v>
      </c>
      <c r="H9" s="90"/>
      <c r="I9" s="91">
        <f t="shared" si="2"/>
        <v>-9.375</v>
      </c>
      <c r="J9" s="89">
        <v>1</v>
      </c>
      <c r="K9" s="90"/>
      <c r="L9" s="91">
        <f t="shared" si="3"/>
        <v>-6.429</v>
      </c>
      <c r="M9" s="89"/>
      <c r="N9" s="90"/>
      <c r="O9" s="91">
        <f>-6.429*M9</f>
        <v>0</v>
      </c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49</v>
      </c>
      <c r="C10" s="88">
        <f>'2008年7月'!R10</f>
        <v>72.813</v>
      </c>
      <c r="D10" s="94"/>
      <c r="E10" s="90"/>
      <c r="F10" s="91">
        <f t="shared" si="1"/>
        <v>0</v>
      </c>
      <c r="G10" s="92"/>
      <c r="H10" s="90"/>
      <c r="I10" s="91">
        <f t="shared" si="2"/>
        <v>0</v>
      </c>
      <c r="J10" s="89"/>
      <c r="K10" s="90"/>
      <c r="L10" s="91">
        <f t="shared" si="3"/>
        <v>0</v>
      </c>
      <c r="M10" s="89"/>
      <c r="N10" s="90"/>
      <c r="O10" s="91">
        <f>-6.429*M10</f>
        <v>0</v>
      </c>
      <c r="P10" s="94"/>
      <c r="Q10" s="93"/>
      <c r="R10" s="39">
        <f t="shared" si="0"/>
        <v>72.813</v>
      </c>
    </row>
    <row r="11" spans="1:18" ht="12.75">
      <c r="A11" s="2">
        <v>9</v>
      </c>
      <c r="B11" s="106" t="s">
        <v>50</v>
      </c>
      <c r="C11" s="88">
        <f>'2008年7月'!R11</f>
        <v>89.48</v>
      </c>
      <c r="D11" s="89"/>
      <c r="E11" s="90"/>
      <c r="F11" s="91">
        <f t="shared" si="1"/>
        <v>0</v>
      </c>
      <c r="G11" s="92"/>
      <c r="H11" s="90"/>
      <c r="I11" s="91">
        <f t="shared" si="2"/>
        <v>0</v>
      </c>
      <c r="J11" s="89"/>
      <c r="K11" s="90"/>
      <c r="L11" s="91">
        <f t="shared" si="3"/>
        <v>0</v>
      </c>
      <c r="M11" s="89">
        <v>1</v>
      </c>
      <c r="N11" s="90"/>
      <c r="O11" s="91">
        <f>-5*M11</f>
        <v>-5</v>
      </c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51</v>
      </c>
      <c r="C12" s="81">
        <f>'2008年7月'!R12</f>
        <v>80.83</v>
      </c>
      <c r="D12" s="82">
        <v>1</v>
      </c>
      <c r="E12" s="83"/>
      <c r="F12" s="84">
        <f t="shared" si="1"/>
        <v>-7.368</v>
      </c>
      <c r="G12" s="85">
        <v>2</v>
      </c>
      <c r="H12" s="83"/>
      <c r="I12" s="84">
        <f t="shared" si="2"/>
        <v>-18.75</v>
      </c>
      <c r="J12" s="82"/>
      <c r="K12" s="83"/>
      <c r="L12" s="84">
        <f t="shared" si="3"/>
        <v>0</v>
      </c>
      <c r="M12" s="82"/>
      <c r="N12" s="83"/>
      <c r="O12" s="84">
        <f>-6.429*M12</f>
        <v>0</v>
      </c>
      <c r="P12" s="82"/>
      <c r="Q12" s="87"/>
      <c r="R12" s="39">
        <f t="shared" si="0"/>
        <v>54.712</v>
      </c>
    </row>
    <row r="13" spans="1:18" ht="12.75">
      <c r="A13" s="2">
        <v>11</v>
      </c>
      <c r="B13" s="104" t="s">
        <v>52</v>
      </c>
      <c r="C13" s="81">
        <f>'2008年7月'!R13</f>
        <v>80.83</v>
      </c>
      <c r="D13" s="82">
        <v>1</v>
      </c>
      <c r="E13" s="83"/>
      <c r="F13" s="84">
        <f t="shared" si="1"/>
        <v>-7.368</v>
      </c>
      <c r="G13" s="85">
        <v>1</v>
      </c>
      <c r="H13" s="83"/>
      <c r="I13" s="84">
        <f t="shared" si="2"/>
        <v>-9.375</v>
      </c>
      <c r="J13" s="82"/>
      <c r="K13" s="83"/>
      <c r="L13" s="84">
        <f t="shared" si="3"/>
        <v>0</v>
      </c>
      <c r="M13" s="82"/>
      <c r="N13" s="83"/>
      <c r="O13" s="84">
        <f>-6.429*M13</f>
        <v>0</v>
      </c>
      <c r="P13" s="86"/>
      <c r="Q13" s="87"/>
      <c r="R13" s="40">
        <f t="shared" si="0"/>
        <v>64.087</v>
      </c>
    </row>
    <row r="14" spans="1:18" ht="12.75">
      <c r="A14" s="2">
        <v>12</v>
      </c>
      <c r="B14" s="104" t="s">
        <v>29</v>
      </c>
      <c r="C14" s="81">
        <f>'2008年7月'!R14</f>
        <v>76.98</v>
      </c>
      <c r="D14" s="82">
        <v>1</v>
      </c>
      <c r="E14" s="83"/>
      <c r="F14" s="84">
        <f t="shared" si="1"/>
        <v>-7.368</v>
      </c>
      <c r="G14" s="85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>-5*M14</f>
        <v>-5</v>
      </c>
      <c r="P14" s="82"/>
      <c r="Q14" s="87"/>
      <c r="R14" s="40">
        <f t="shared" si="0"/>
        <v>64.61200000000001</v>
      </c>
    </row>
    <row r="15" spans="1:18" ht="12.75">
      <c r="A15" s="2">
        <v>13</v>
      </c>
      <c r="B15" s="105" t="s">
        <v>53</v>
      </c>
      <c r="C15" s="60">
        <f>'2008年7月'!R15</f>
        <v>76.98</v>
      </c>
      <c r="D15" s="61">
        <v>1</v>
      </c>
      <c r="E15" s="62"/>
      <c r="F15" s="63">
        <f t="shared" si="1"/>
        <v>-7.368</v>
      </c>
      <c r="G15" s="64">
        <v>1</v>
      </c>
      <c r="H15" s="62"/>
      <c r="I15" s="63">
        <f t="shared" si="2"/>
        <v>-9.375</v>
      </c>
      <c r="J15" s="61">
        <v>1</v>
      </c>
      <c r="K15" s="62"/>
      <c r="L15" s="63">
        <f t="shared" si="3"/>
        <v>-6.429</v>
      </c>
      <c r="M15" s="61"/>
      <c r="N15" s="62"/>
      <c r="O15" s="63">
        <f>-5*M15</f>
        <v>0</v>
      </c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54</v>
      </c>
      <c r="C16" s="60">
        <f>'2008年7月'!R16</f>
        <v>70.31</v>
      </c>
      <c r="D16" s="61">
        <v>1</v>
      </c>
      <c r="E16" s="62"/>
      <c r="F16" s="63">
        <f t="shared" si="1"/>
        <v>-7.368</v>
      </c>
      <c r="G16" s="64"/>
      <c r="H16" s="62"/>
      <c r="I16" s="63">
        <f t="shared" si="2"/>
        <v>0</v>
      </c>
      <c r="J16" s="61">
        <v>1</v>
      </c>
      <c r="K16" s="62"/>
      <c r="L16" s="63">
        <f t="shared" si="3"/>
        <v>-6.429</v>
      </c>
      <c r="M16" s="61">
        <v>1</v>
      </c>
      <c r="N16" s="62"/>
      <c r="O16" s="63">
        <f>-5*M16-10</f>
        <v>-15</v>
      </c>
      <c r="P16" s="61"/>
      <c r="Q16" s="65"/>
      <c r="R16" s="39">
        <f t="shared" si="0"/>
        <v>41.513</v>
      </c>
    </row>
    <row r="17" spans="1:18" ht="12.75">
      <c r="A17" s="2">
        <v>15</v>
      </c>
      <c r="B17" s="105" t="s">
        <v>55</v>
      </c>
      <c r="C17" s="60">
        <f>'2008年7月'!R17</f>
        <v>76.98</v>
      </c>
      <c r="D17" s="61">
        <v>1</v>
      </c>
      <c r="E17" s="62"/>
      <c r="F17" s="63">
        <f t="shared" si="1"/>
        <v>-7.368</v>
      </c>
      <c r="G17" s="64">
        <v>1</v>
      </c>
      <c r="H17" s="62"/>
      <c r="I17" s="63">
        <f t="shared" si="2"/>
        <v>-9.375</v>
      </c>
      <c r="J17" s="61">
        <v>1</v>
      </c>
      <c r="K17" s="62"/>
      <c r="L17" s="63">
        <f t="shared" si="3"/>
        <v>-6.429</v>
      </c>
      <c r="M17" s="61">
        <v>1</v>
      </c>
      <c r="N17" s="62"/>
      <c r="O17" s="63">
        <f>-5*M17</f>
        <v>-5</v>
      </c>
      <c r="P17" s="66"/>
      <c r="Q17" s="65"/>
      <c r="R17" s="39">
        <f t="shared" si="0"/>
        <v>48.80800000000001</v>
      </c>
    </row>
    <row r="18" spans="1:18" ht="12.75">
      <c r="A18" s="2">
        <v>16</v>
      </c>
      <c r="B18" s="102" t="s">
        <v>34</v>
      </c>
      <c r="C18" s="67">
        <f>'2008年7月'!R18</f>
        <v>89.48</v>
      </c>
      <c r="D18" s="68">
        <v>1</v>
      </c>
      <c r="E18" s="69"/>
      <c r="F18" s="70">
        <f t="shared" si="1"/>
        <v>-7.368</v>
      </c>
      <c r="G18" s="71">
        <v>1</v>
      </c>
      <c r="H18" s="69"/>
      <c r="I18" s="70">
        <f t="shared" si="2"/>
        <v>-9.375</v>
      </c>
      <c r="J18" s="68">
        <v>1</v>
      </c>
      <c r="K18" s="69"/>
      <c r="L18" s="70">
        <f t="shared" si="3"/>
        <v>-6.429</v>
      </c>
      <c r="M18" s="68">
        <v>1</v>
      </c>
      <c r="N18" s="69"/>
      <c r="O18" s="70">
        <f>-5*M18</f>
        <v>-5</v>
      </c>
      <c r="P18" s="68"/>
      <c r="Q18" s="72"/>
      <c r="R18" s="39">
        <f t="shared" si="0"/>
        <v>61.30800000000001</v>
      </c>
    </row>
    <row r="19" spans="1:20" ht="12.75">
      <c r="A19" s="2">
        <v>17</v>
      </c>
      <c r="B19" s="102" t="s">
        <v>56</v>
      </c>
      <c r="C19" s="67">
        <f>'2008年7月'!R19</f>
        <v>96.15</v>
      </c>
      <c r="D19" s="95"/>
      <c r="E19" s="69"/>
      <c r="F19" s="70">
        <f t="shared" si="1"/>
        <v>0</v>
      </c>
      <c r="G19" s="71">
        <v>1</v>
      </c>
      <c r="H19" s="69"/>
      <c r="I19" s="70">
        <f t="shared" si="2"/>
        <v>-9.375</v>
      </c>
      <c r="J19" s="68"/>
      <c r="K19" s="69"/>
      <c r="L19" s="70">
        <f t="shared" si="3"/>
        <v>0</v>
      </c>
      <c r="M19" s="68">
        <v>2</v>
      </c>
      <c r="N19" s="69"/>
      <c r="O19" s="70">
        <f>-5*M19</f>
        <v>-10</v>
      </c>
      <c r="P19" s="73"/>
      <c r="Q19" s="72"/>
      <c r="R19" s="39">
        <f t="shared" si="0"/>
        <v>76.775</v>
      </c>
      <c r="T19" s="37"/>
    </row>
    <row r="20" spans="1:18" ht="12.75">
      <c r="A20" s="2">
        <v>18</v>
      </c>
      <c r="B20" s="102" t="s">
        <v>57</v>
      </c>
      <c r="C20" s="67">
        <f>'2008年7月'!R20</f>
        <v>93.33</v>
      </c>
      <c r="D20" s="68">
        <v>1</v>
      </c>
      <c r="E20" s="69"/>
      <c r="F20" s="70">
        <f t="shared" si="1"/>
        <v>-7.368</v>
      </c>
      <c r="G20" s="71">
        <v>1</v>
      </c>
      <c r="H20" s="69"/>
      <c r="I20" s="70">
        <f t="shared" si="2"/>
        <v>-9.375</v>
      </c>
      <c r="J20" s="68">
        <v>1</v>
      </c>
      <c r="K20" s="69"/>
      <c r="L20" s="70">
        <f t="shared" si="3"/>
        <v>-6.429</v>
      </c>
      <c r="M20" s="68"/>
      <c r="N20" s="69"/>
      <c r="O20" s="70">
        <f>-5*M20</f>
        <v>0</v>
      </c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'2008年7月'!R21</f>
        <v>93.33</v>
      </c>
      <c r="D21" s="75">
        <v>1</v>
      </c>
      <c r="E21" s="76"/>
      <c r="F21" s="77">
        <f t="shared" si="1"/>
        <v>-7.368</v>
      </c>
      <c r="G21" s="78">
        <v>1</v>
      </c>
      <c r="H21" s="96"/>
      <c r="I21" s="77">
        <f t="shared" si="2"/>
        <v>-9.375</v>
      </c>
      <c r="J21" s="75">
        <v>1</v>
      </c>
      <c r="K21" s="96"/>
      <c r="L21" s="77">
        <f>-6.429*J21-10</f>
        <v>-16.429000000000002</v>
      </c>
      <c r="M21" s="75">
        <v>1</v>
      </c>
      <c r="N21" s="96"/>
      <c r="O21" s="77">
        <f>-5*M21-10</f>
        <v>-15</v>
      </c>
      <c r="P21" s="80"/>
      <c r="Q21" s="79"/>
      <c r="R21" s="39">
        <f t="shared" si="0"/>
        <v>45.158</v>
      </c>
    </row>
    <row r="22" spans="1:18" ht="12.75">
      <c r="A22" s="2">
        <v>20</v>
      </c>
      <c r="B22" s="103" t="s">
        <v>58</v>
      </c>
      <c r="C22" s="74">
        <f>'2008年7月'!R22</f>
        <v>93.33</v>
      </c>
      <c r="D22" s="75">
        <v>1</v>
      </c>
      <c r="E22" s="76"/>
      <c r="F22" s="77">
        <f t="shared" si="1"/>
        <v>-7.368</v>
      </c>
      <c r="G22" s="78">
        <v>1</v>
      </c>
      <c r="H22" s="96"/>
      <c r="I22" s="77">
        <f t="shared" si="2"/>
        <v>-9.375</v>
      </c>
      <c r="J22" s="75">
        <v>1</v>
      </c>
      <c r="K22" s="96"/>
      <c r="L22" s="77">
        <f>-6.429*J22-10</f>
        <v>-16.429000000000002</v>
      </c>
      <c r="M22" s="75">
        <v>1</v>
      </c>
      <c r="N22" s="96"/>
      <c r="O22" s="77">
        <f>-5*M22</f>
        <v>-5</v>
      </c>
      <c r="P22" s="75"/>
      <c r="Q22" s="79"/>
      <c r="R22" s="39">
        <f t="shared" si="0"/>
        <v>55.158</v>
      </c>
    </row>
    <row r="23" spans="1:18" ht="12.75">
      <c r="A23" s="2">
        <v>21</v>
      </c>
      <c r="B23" s="103" t="s">
        <v>59</v>
      </c>
      <c r="C23" s="74">
        <f>'2008年7月'!R23</f>
        <v>93.33</v>
      </c>
      <c r="D23" s="75"/>
      <c r="E23" s="76"/>
      <c r="F23" s="77">
        <f t="shared" si="1"/>
        <v>0</v>
      </c>
      <c r="G23" s="78">
        <v>1</v>
      </c>
      <c r="H23" s="96"/>
      <c r="I23" s="77">
        <f t="shared" si="2"/>
        <v>-9.375</v>
      </c>
      <c r="J23" s="75"/>
      <c r="K23" s="96"/>
      <c r="L23" s="77">
        <f t="shared" si="3"/>
        <v>0</v>
      </c>
      <c r="M23" s="75"/>
      <c r="N23" s="96"/>
      <c r="O23" s="77">
        <f>-5*M23</f>
        <v>0</v>
      </c>
      <c r="P23" s="80"/>
      <c r="Q23" s="79"/>
      <c r="R23" s="39">
        <f t="shared" si="0"/>
        <v>83.955</v>
      </c>
    </row>
    <row r="24" spans="1:18" ht="12.75">
      <c r="A24" s="2">
        <v>22</v>
      </c>
      <c r="B24" s="106" t="s">
        <v>64</v>
      </c>
      <c r="C24" s="88">
        <f>'2008年7月'!R24</f>
        <v>93.33</v>
      </c>
      <c r="D24" s="89">
        <v>1</v>
      </c>
      <c r="E24" s="90"/>
      <c r="F24" s="91">
        <f t="shared" si="1"/>
        <v>-7.368</v>
      </c>
      <c r="G24" s="92"/>
      <c r="H24" s="97"/>
      <c r="I24" s="91">
        <f t="shared" si="2"/>
        <v>0</v>
      </c>
      <c r="J24" s="89">
        <v>1</v>
      </c>
      <c r="K24" s="97"/>
      <c r="L24" s="91">
        <f t="shared" si="3"/>
        <v>-6.429</v>
      </c>
      <c r="M24" s="89">
        <v>1</v>
      </c>
      <c r="N24" s="97"/>
      <c r="O24" s="91">
        <f>-5*M24</f>
        <v>-5</v>
      </c>
      <c r="P24" s="89"/>
      <c r="Q24" s="93"/>
      <c r="R24" s="39">
        <f t="shared" si="0"/>
        <v>74.533</v>
      </c>
    </row>
    <row r="25" spans="1:18" ht="12.75">
      <c r="A25" s="2">
        <v>23</v>
      </c>
      <c r="B25" s="106" t="s">
        <v>45</v>
      </c>
      <c r="C25" s="88">
        <f>'2008年7月'!R25</f>
        <v>-6.67</v>
      </c>
      <c r="D25" s="89">
        <v>1</v>
      </c>
      <c r="E25" s="90">
        <v>100</v>
      </c>
      <c r="F25" s="91">
        <f t="shared" si="1"/>
        <v>-7.368</v>
      </c>
      <c r="G25" s="92">
        <v>1</v>
      </c>
      <c r="H25" s="97"/>
      <c r="I25" s="91">
        <f t="shared" si="2"/>
        <v>-9.375</v>
      </c>
      <c r="J25" s="89">
        <v>1</v>
      </c>
      <c r="K25" s="97"/>
      <c r="L25" s="91">
        <f t="shared" si="3"/>
        <v>-6.429</v>
      </c>
      <c r="M25" s="89">
        <v>1</v>
      </c>
      <c r="N25" s="97"/>
      <c r="O25" s="91">
        <f>-5*M25</f>
        <v>-5</v>
      </c>
      <c r="P25" s="89"/>
      <c r="Q25" s="93"/>
      <c r="R25" s="39">
        <f t="shared" si="0"/>
        <v>65.158</v>
      </c>
    </row>
    <row r="26" spans="1:18" ht="12.75">
      <c r="A26" s="2">
        <v>24</v>
      </c>
      <c r="B26" s="106" t="s">
        <v>77</v>
      </c>
      <c r="C26" s="88">
        <v>0</v>
      </c>
      <c r="D26" s="89">
        <v>1</v>
      </c>
      <c r="E26" s="90">
        <v>100</v>
      </c>
      <c r="F26" s="91">
        <f t="shared" si="1"/>
        <v>-7.368</v>
      </c>
      <c r="G26" s="92">
        <v>1</v>
      </c>
      <c r="H26" s="90"/>
      <c r="I26" s="91">
        <f t="shared" si="2"/>
        <v>-9.375</v>
      </c>
      <c r="J26" s="89">
        <v>2</v>
      </c>
      <c r="K26" s="90"/>
      <c r="L26" s="91">
        <f>-6.429*J26-10</f>
        <v>-22.858</v>
      </c>
      <c r="M26" s="89">
        <v>1</v>
      </c>
      <c r="N26" s="90"/>
      <c r="O26" s="91">
        <f>-5*M26-10</f>
        <v>-15</v>
      </c>
      <c r="P26" s="94"/>
      <c r="Q26" s="93"/>
      <c r="R26" s="39">
        <f t="shared" si="0"/>
        <v>45.399</v>
      </c>
    </row>
    <row r="27" spans="1:18" ht="12.75">
      <c r="A27" s="2">
        <v>25</v>
      </c>
      <c r="B27" s="104" t="s">
        <v>65</v>
      </c>
      <c r="C27" s="81">
        <v>0</v>
      </c>
      <c r="D27" s="82">
        <v>1</v>
      </c>
      <c r="E27" s="98">
        <v>50</v>
      </c>
      <c r="F27" s="84">
        <f t="shared" si="1"/>
        <v>-7.368</v>
      </c>
      <c r="G27" s="85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>-5*M27</f>
        <v>0</v>
      </c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80</v>
      </c>
      <c r="C28" s="81">
        <v>0</v>
      </c>
      <c r="D28" s="86"/>
      <c r="E28" s="98"/>
      <c r="F28" s="84"/>
      <c r="G28" s="86"/>
      <c r="H28" s="98"/>
      <c r="I28" s="84"/>
      <c r="J28" s="82">
        <v>0</v>
      </c>
      <c r="K28" s="98"/>
      <c r="L28" s="84">
        <f t="shared" si="3"/>
        <v>0</v>
      </c>
      <c r="M28" s="82"/>
      <c r="N28" s="98"/>
      <c r="O28" s="84">
        <f>-5*M28</f>
        <v>0</v>
      </c>
      <c r="P28" s="86"/>
      <c r="Q28" s="87"/>
      <c r="R28" s="39">
        <f t="shared" si="0"/>
        <v>0</v>
      </c>
    </row>
    <row r="29" spans="1:18" ht="12.75">
      <c r="A29" s="2">
        <v>27</v>
      </c>
      <c r="B29" s="104" t="s">
        <v>86</v>
      </c>
      <c r="C29" s="81">
        <v>0</v>
      </c>
      <c r="D29" s="82">
        <v>1</v>
      </c>
      <c r="E29" s="83"/>
      <c r="F29" s="84">
        <f>-7.368*D29</f>
        <v>-7.368</v>
      </c>
      <c r="G29" s="86"/>
      <c r="H29" s="98"/>
      <c r="I29" s="84"/>
      <c r="J29" s="82"/>
      <c r="K29" s="98"/>
      <c r="L29" s="84"/>
      <c r="M29" s="82">
        <v>1</v>
      </c>
      <c r="N29" s="98">
        <v>100</v>
      </c>
      <c r="O29" s="84">
        <f>-5*M29</f>
        <v>-5</v>
      </c>
      <c r="P29" s="82"/>
      <c r="Q29" s="87"/>
      <c r="R29" s="39">
        <f t="shared" si="0"/>
        <v>87.632</v>
      </c>
    </row>
    <row r="30" spans="1:18" ht="12.75">
      <c r="A30" s="2">
        <v>28</v>
      </c>
      <c r="B30" s="105" t="s">
        <v>92</v>
      </c>
      <c r="C30" s="60">
        <v>0</v>
      </c>
      <c r="D30" s="66"/>
      <c r="E30" s="99"/>
      <c r="F30" s="63"/>
      <c r="G30" s="66"/>
      <c r="H30" s="99"/>
      <c r="I30" s="63"/>
      <c r="J30" s="61"/>
      <c r="K30" s="99"/>
      <c r="L30" s="63"/>
      <c r="M30" s="61">
        <v>1</v>
      </c>
      <c r="N30" s="99"/>
      <c r="O30" s="63">
        <f>-5*M30</f>
        <v>-5</v>
      </c>
      <c r="P30" s="66"/>
      <c r="Q30" s="65"/>
      <c r="R30" s="39">
        <f t="shared" si="0"/>
        <v>-5</v>
      </c>
    </row>
    <row r="31" spans="1:18" ht="12.75">
      <c r="A31" s="2">
        <v>29</v>
      </c>
      <c r="B31" s="105" t="s">
        <v>89</v>
      </c>
      <c r="C31" s="60">
        <v>0</v>
      </c>
      <c r="D31" s="61"/>
      <c r="E31" s="99"/>
      <c r="F31" s="63"/>
      <c r="G31" s="66"/>
      <c r="H31" s="99"/>
      <c r="I31" s="63"/>
      <c r="J31" s="61"/>
      <c r="K31" s="99"/>
      <c r="L31" s="63"/>
      <c r="M31" s="61">
        <v>1</v>
      </c>
      <c r="N31" s="99">
        <v>100</v>
      </c>
      <c r="O31" s="63">
        <f>-5*M31</f>
        <v>-5</v>
      </c>
      <c r="P31" s="61"/>
      <c r="Q31" s="65"/>
      <c r="R31" s="39">
        <f t="shared" si="0"/>
        <v>95</v>
      </c>
    </row>
    <row r="32" spans="1:18" ht="12.75">
      <c r="A32" s="2">
        <v>30</v>
      </c>
      <c r="B32" s="105"/>
      <c r="C32" s="60"/>
      <c r="D32" s="66"/>
      <c r="E32" s="99"/>
      <c r="F32" s="63"/>
      <c r="G32" s="66"/>
      <c r="H32" s="99"/>
      <c r="I32" s="63"/>
      <c r="J32" s="61"/>
      <c r="K32" s="99"/>
      <c r="L32" s="63"/>
      <c r="M32" s="61"/>
      <c r="N32" s="99"/>
      <c r="O32" s="63"/>
      <c r="P32" s="66"/>
      <c r="Q32" s="65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101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29</v>
      </c>
      <c r="D54" s="1">
        <f>SUM(D3:D52)</f>
        <v>19</v>
      </c>
      <c r="F54" s="1">
        <f>E65/D54</f>
        <v>7.368421052631579</v>
      </c>
      <c r="G54" s="1">
        <f>SUM(G3:G53)</f>
        <v>16</v>
      </c>
      <c r="I54" s="1">
        <f>H65/G54</f>
        <v>9.375</v>
      </c>
      <c r="J54" s="1">
        <f>SUM(J3:J53)</f>
        <v>14</v>
      </c>
      <c r="L54" s="1">
        <f>K65/J54</f>
        <v>6.428571428571429</v>
      </c>
      <c r="M54" s="1">
        <f>SUM(M3:M53)</f>
        <v>18</v>
      </c>
      <c r="O54" s="36">
        <f>N65/M54</f>
        <v>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60</v>
      </c>
      <c r="C57" s="1">
        <f>SUM(C3:C52)</f>
        <v>1709.9969999999998</v>
      </c>
      <c r="E57" s="41"/>
      <c r="H57" s="41"/>
      <c r="K57" s="41"/>
      <c r="N57" s="41"/>
      <c r="R57" s="24"/>
    </row>
    <row r="58" spans="16:18" ht="12.75">
      <c r="P58" s="151" t="s">
        <v>8</v>
      </c>
      <c r="Q58" s="151"/>
      <c r="R58" s="56">
        <f>SUM(R3:R52)</f>
        <v>1619.9989999999993</v>
      </c>
    </row>
    <row r="59" spans="4:15" ht="12.75" customHeight="1">
      <c r="D59" s="155" t="s">
        <v>63</v>
      </c>
      <c r="E59" s="144"/>
      <c r="F59" s="145"/>
      <c r="G59" s="155" t="s">
        <v>70</v>
      </c>
      <c r="H59" s="144"/>
      <c r="I59" s="145"/>
      <c r="J59" s="155" t="s">
        <v>79</v>
      </c>
      <c r="K59" s="144"/>
      <c r="L59" s="145"/>
      <c r="M59" s="155" t="s">
        <v>87</v>
      </c>
      <c r="N59" s="144"/>
      <c r="O59" s="145"/>
    </row>
    <row r="60" spans="4:15" ht="12.75">
      <c r="D60" s="146"/>
      <c r="E60" s="147"/>
      <c r="F60" s="148"/>
      <c r="G60" s="146"/>
      <c r="H60" s="147"/>
      <c r="I60" s="148"/>
      <c r="J60" s="146"/>
      <c r="K60" s="147"/>
      <c r="L60" s="148"/>
      <c r="M60" s="146"/>
      <c r="N60" s="147"/>
      <c r="O60" s="148"/>
    </row>
    <row r="61" spans="4:15" ht="12.75">
      <c r="D61" s="146"/>
      <c r="E61" s="147"/>
      <c r="F61" s="148"/>
      <c r="G61" s="146"/>
      <c r="H61" s="147"/>
      <c r="I61" s="148"/>
      <c r="J61" s="146"/>
      <c r="K61" s="147"/>
      <c r="L61" s="148"/>
      <c r="M61" s="146"/>
      <c r="N61" s="147"/>
      <c r="O61" s="148"/>
    </row>
    <row r="62" spans="4:15" ht="12.75">
      <c r="D62" s="146"/>
      <c r="E62" s="147"/>
      <c r="F62" s="148"/>
      <c r="G62" s="146"/>
      <c r="H62" s="147"/>
      <c r="I62" s="148"/>
      <c r="J62" s="146"/>
      <c r="K62" s="147"/>
      <c r="L62" s="148"/>
      <c r="M62" s="146"/>
      <c r="N62" s="147"/>
      <c r="O62" s="148"/>
    </row>
    <row r="63" spans="4:15" ht="12.75">
      <c r="D63" s="146"/>
      <c r="E63" s="147"/>
      <c r="F63" s="148"/>
      <c r="G63" s="146"/>
      <c r="H63" s="147"/>
      <c r="I63" s="148"/>
      <c r="J63" s="146"/>
      <c r="K63" s="147"/>
      <c r="L63" s="148"/>
      <c r="M63" s="146"/>
      <c r="N63" s="147"/>
      <c r="O63" s="148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61</v>
      </c>
      <c r="E65" s="50">
        <f>150-10</f>
        <v>140</v>
      </c>
      <c r="F65" s="51"/>
      <c r="G65" s="52" t="s">
        <v>61</v>
      </c>
      <c r="H65" s="50">
        <f>150</f>
        <v>150</v>
      </c>
      <c r="I65" s="51"/>
      <c r="J65" s="52" t="s">
        <v>61</v>
      </c>
      <c r="K65" s="50">
        <f>150-10-10-K81-K86</f>
        <v>90</v>
      </c>
      <c r="L65" s="51"/>
      <c r="M65" s="52" t="s">
        <v>61</v>
      </c>
      <c r="N65" s="50">
        <f>150-15-15-N81-N86</f>
        <v>90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9" ht="12.75">
      <c r="D67" s="46"/>
      <c r="E67" s="46"/>
      <c r="F67" s="46"/>
      <c r="G67" s="46"/>
      <c r="H67" s="46"/>
      <c r="I67" s="46"/>
    </row>
    <row r="68" spans="4:9" ht="12.75">
      <c r="D68" s="46"/>
      <c r="E68" s="46"/>
      <c r="F68" s="46"/>
      <c r="G68" s="46"/>
      <c r="H68" s="46"/>
      <c r="I68" s="46"/>
    </row>
    <row r="69" spans="4:7" ht="12.75">
      <c r="D69" s="37"/>
      <c r="G69" s="37"/>
    </row>
    <row r="71" spans="4:15" ht="12.75" customHeight="1">
      <c r="D71" s="149" t="s">
        <v>62</v>
      </c>
      <c r="E71" s="150"/>
      <c r="F71" s="150"/>
      <c r="G71" s="149" t="s">
        <v>73</v>
      </c>
      <c r="H71" s="150"/>
      <c r="I71" s="150"/>
      <c r="J71" s="149" t="s">
        <v>78</v>
      </c>
      <c r="K71" s="150"/>
      <c r="L71" s="150"/>
      <c r="M71" s="149" t="s">
        <v>85</v>
      </c>
      <c r="N71" s="150"/>
      <c r="O71" s="150"/>
    </row>
    <row r="72" spans="4:15" ht="12.75"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</row>
    <row r="73" spans="4:15" ht="12.75"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</row>
    <row r="74" spans="4:15" ht="12.75">
      <c r="D74" s="149" t="s">
        <v>67</v>
      </c>
      <c r="E74" s="150"/>
      <c r="F74" s="150"/>
      <c r="G74" s="149" t="s">
        <v>71</v>
      </c>
      <c r="H74" s="150"/>
      <c r="I74" s="150"/>
      <c r="J74" s="149" t="s">
        <v>76</v>
      </c>
      <c r="K74" s="150"/>
      <c r="L74" s="150"/>
      <c r="M74" s="149" t="s">
        <v>90</v>
      </c>
      <c r="N74" s="150"/>
      <c r="O74" s="150"/>
    </row>
    <row r="75" spans="4:15" ht="12.75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</row>
    <row r="76" spans="4:15" ht="21.75" customHeight="1"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</row>
    <row r="77" spans="7:14" ht="12.75">
      <c r="G77" s="149" t="s">
        <v>72</v>
      </c>
      <c r="H77" s="149"/>
      <c r="I77" s="149"/>
      <c r="J77" s="153" t="s">
        <v>81</v>
      </c>
      <c r="K77" s="154"/>
      <c r="M77" s="153" t="s">
        <v>81</v>
      </c>
      <c r="N77" s="154"/>
    </row>
    <row r="78" spans="7:14" ht="12.75" customHeight="1">
      <c r="G78" s="149"/>
      <c r="H78" s="149"/>
      <c r="I78" s="149"/>
      <c r="J78" s="1" t="s">
        <v>84</v>
      </c>
      <c r="K78" s="1">
        <v>10</v>
      </c>
      <c r="M78" s="37" t="s">
        <v>69</v>
      </c>
      <c r="N78" s="1">
        <v>10</v>
      </c>
    </row>
    <row r="79" spans="4:14" ht="12.75" customHeight="1">
      <c r="D79" s="149" t="s">
        <v>66</v>
      </c>
      <c r="E79" s="150"/>
      <c r="F79" s="150"/>
      <c r="G79" s="149"/>
      <c r="H79" s="149"/>
      <c r="I79" s="149"/>
      <c r="J79" s="37" t="s">
        <v>69</v>
      </c>
      <c r="K79" s="1">
        <v>10</v>
      </c>
      <c r="M79" s="107" t="s">
        <v>77</v>
      </c>
      <c r="N79" s="1">
        <v>10</v>
      </c>
    </row>
    <row r="80" spans="4:13" ht="12.75">
      <c r="D80" s="150"/>
      <c r="E80" s="150"/>
      <c r="F80" s="150"/>
      <c r="G80" s="149"/>
      <c r="H80" s="149"/>
      <c r="I80" s="149"/>
      <c r="J80" s="107" t="s">
        <v>77</v>
      </c>
      <c r="K80" s="1">
        <v>10</v>
      </c>
      <c r="M80" s="107"/>
    </row>
    <row r="81" spans="4:14" ht="12.75">
      <c r="D81" s="150"/>
      <c r="E81" s="150"/>
      <c r="F81" s="150"/>
      <c r="G81" s="149"/>
      <c r="H81" s="149"/>
      <c r="I81" s="149"/>
      <c r="K81" s="1">
        <f>SUM(K78:K80)</f>
        <v>30</v>
      </c>
      <c r="N81" s="1">
        <f>SUM(N78:N80)</f>
        <v>20</v>
      </c>
    </row>
    <row r="82" spans="4:9" ht="12.75">
      <c r="D82" s="58"/>
      <c r="E82" s="58"/>
      <c r="F82" s="58"/>
      <c r="G82" s="57"/>
      <c r="H82" s="57"/>
      <c r="I82" s="57"/>
    </row>
    <row r="84" spans="4:14" ht="12.75" customHeight="1">
      <c r="D84" s="149" t="s">
        <v>68</v>
      </c>
      <c r="E84" s="149"/>
      <c r="F84" s="149"/>
      <c r="G84" s="149" t="s">
        <v>75</v>
      </c>
      <c r="H84" s="149"/>
      <c r="I84" s="149"/>
      <c r="J84" s="153" t="s">
        <v>82</v>
      </c>
      <c r="K84" s="154"/>
      <c r="M84" s="153" t="s">
        <v>82</v>
      </c>
      <c r="N84" s="154"/>
    </row>
    <row r="85" spans="4:14" ht="12.75">
      <c r="D85" s="149"/>
      <c r="E85" s="149"/>
      <c r="F85" s="149"/>
      <c r="G85" s="149"/>
      <c r="H85" s="149"/>
      <c r="I85" s="149"/>
      <c r="J85" s="37" t="s">
        <v>13</v>
      </c>
      <c r="K85" s="1">
        <v>10</v>
      </c>
      <c r="M85" s="37" t="s">
        <v>88</v>
      </c>
      <c r="N85" s="1">
        <v>10</v>
      </c>
    </row>
    <row r="86" spans="4:14" ht="12.75">
      <c r="D86" s="149"/>
      <c r="E86" s="149"/>
      <c r="F86" s="149"/>
      <c r="G86" s="149"/>
      <c r="H86" s="149"/>
      <c r="I86" s="149"/>
      <c r="K86" s="1">
        <f>SUM(K85)</f>
        <v>10</v>
      </c>
      <c r="N86" s="1">
        <f>SUM(N85)</f>
        <v>10</v>
      </c>
    </row>
    <row r="87" spans="4:9" ht="12.75">
      <c r="D87" s="149"/>
      <c r="E87" s="149"/>
      <c r="F87" s="149"/>
      <c r="G87" s="149"/>
      <c r="H87" s="149"/>
      <c r="I87" s="149"/>
    </row>
    <row r="88" spans="4:9" ht="12.75">
      <c r="D88" s="149"/>
      <c r="E88" s="149"/>
      <c r="F88" s="149"/>
      <c r="G88" s="149"/>
      <c r="H88" s="149"/>
      <c r="I88" s="149"/>
    </row>
    <row r="89" spans="4:9" ht="12.75">
      <c r="D89" s="149"/>
      <c r="E89" s="149"/>
      <c r="F89" s="149"/>
      <c r="G89" s="149"/>
      <c r="H89" s="149"/>
      <c r="I89" s="149"/>
    </row>
    <row r="91" spans="7:15" ht="12.75" customHeight="1">
      <c r="G91" s="149" t="s">
        <v>74</v>
      </c>
      <c r="H91" s="149"/>
      <c r="I91" s="149"/>
      <c r="J91" s="152" t="s">
        <v>83</v>
      </c>
      <c r="K91" s="152"/>
      <c r="L91" s="152"/>
      <c r="M91" s="152" t="s">
        <v>91</v>
      </c>
      <c r="N91" s="152"/>
      <c r="O91" s="152"/>
    </row>
    <row r="92" spans="7:15" ht="12.75">
      <c r="G92" s="149"/>
      <c r="H92" s="149"/>
      <c r="I92" s="149"/>
      <c r="J92" s="152"/>
      <c r="K92" s="152"/>
      <c r="L92" s="152"/>
      <c r="M92" s="152"/>
      <c r="N92" s="152"/>
      <c r="O92" s="152"/>
    </row>
    <row r="93" spans="7:15" ht="12.75">
      <c r="G93" s="149"/>
      <c r="H93" s="149"/>
      <c r="I93" s="149"/>
      <c r="J93" s="152"/>
      <c r="K93" s="152"/>
      <c r="L93" s="152"/>
      <c r="M93" s="152"/>
      <c r="N93" s="152"/>
      <c r="O93" s="152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9" ht="12.75">
      <c r="G96" s="59"/>
      <c r="H96" s="59"/>
      <c r="I96" s="59"/>
    </row>
  </sheetData>
  <sheetProtection/>
  <mergeCells count="24">
    <mergeCell ref="D74:F76"/>
    <mergeCell ref="D79:F81"/>
    <mergeCell ref="D84:F89"/>
    <mergeCell ref="M77:N77"/>
    <mergeCell ref="M84:N84"/>
    <mergeCell ref="D59:F63"/>
    <mergeCell ref="D71:F73"/>
    <mergeCell ref="G59:I63"/>
    <mergeCell ref="G71:I73"/>
    <mergeCell ref="P58:Q58"/>
    <mergeCell ref="J59:L63"/>
    <mergeCell ref="J71:L73"/>
    <mergeCell ref="M59:O63"/>
    <mergeCell ref="M71:O73"/>
    <mergeCell ref="G91:I93"/>
    <mergeCell ref="J91:L93"/>
    <mergeCell ref="M74:O76"/>
    <mergeCell ref="J74:L76"/>
    <mergeCell ref="G74:I76"/>
    <mergeCell ref="G84:I89"/>
    <mergeCell ref="J77:K77"/>
    <mergeCell ref="J84:K84"/>
    <mergeCell ref="G77:I81"/>
    <mergeCell ref="M91:O9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K31" sqref="K31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39697</v>
      </c>
      <c r="F1" s="19"/>
      <c r="G1" s="18"/>
      <c r="H1" s="32">
        <v>39704</v>
      </c>
      <c r="I1" s="19"/>
      <c r="J1" s="44"/>
      <c r="K1" s="32">
        <v>39711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'2008年8月'!R3</f>
        <v>15.47399999999999</v>
      </c>
      <c r="D3" s="68">
        <v>1</v>
      </c>
      <c r="E3" s="69">
        <v>100</v>
      </c>
      <c r="F3" s="70">
        <f>-7*D3</f>
        <v>-7</v>
      </c>
      <c r="G3" s="71">
        <v>1</v>
      </c>
      <c r="H3" s="69"/>
      <c r="I3" s="70">
        <f aca="true" t="shared" si="0" ref="I3:I33">-5.2174*G3</f>
        <v>-5.2174</v>
      </c>
      <c r="J3" s="68">
        <v>1</v>
      </c>
      <c r="K3" s="69"/>
      <c r="L3" s="70">
        <f aca="true" t="shared" si="1" ref="L3:L15">-4.2857*J3</f>
        <v>-4.2857</v>
      </c>
      <c r="M3" s="68">
        <v>1</v>
      </c>
      <c r="N3" s="69"/>
      <c r="O3" s="70">
        <f aca="true" t="shared" si="2" ref="O3:O27">-10.4545*M3</f>
        <v>-10.4545</v>
      </c>
      <c r="P3" s="68"/>
      <c r="Q3" s="72"/>
      <c r="R3" s="101">
        <f aca="true" t="shared" si="3" ref="R3:R32">C3+E3+F3+H3+I3+K3+L3+N3+O3+Q3</f>
        <v>88.51639999999999</v>
      </c>
    </row>
    <row r="4" spans="1:18" ht="12.75">
      <c r="A4" s="2">
        <v>2</v>
      </c>
      <c r="B4" s="100" t="s">
        <v>3</v>
      </c>
      <c r="C4" s="67">
        <f>'2008年8月'!R4</f>
        <v>42.49</v>
      </c>
      <c r="D4" s="68">
        <v>1</v>
      </c>
      <c r="E4" s="69"/>
      <c r="F4" s="70">
        <f>-7*D4</f>
        <v>-7</v>
      </c>
      <c r="G4" s="71">
        <v>1</v>
      </c>
      <c r="H4" s="69"/>
      <c r="I4" s="70">
        <f t="shared" si="0"/>
        <v>-5.2174</v>
      </c>
      <c r="J4" s="68">
        <v>1</v>
      </c>
      <c r="K4" s="69"/>
      <c r="L4" s="70">
        <f t="shared" si="1"/>
        <v>-4.2857</v>
      </c>
      <c r="M4" s="68">
        <v>1</v>
      </c>
      <c r="N4" s="69"/>
      <c r="O4" s="70">
        <f t="shared" si="2"/>
        <v>-10.4545</v>
      </c>
      <c r="P4" s="73"/>
      <c r="Q4" s="72"/>
      <c r="R4" s="101">
        <f t="shared" si="3"/>
        <v>15.532400000000006</v>
      </c>
    </row>
    <row r="5" spans="1:18" ht="12.75">
      <c r="A5" s="2">
        <v>3</v>
      </c>
      <c r="B5" s="102" t="s">
        <v>13</v>
      </c>
      <c r="C5" s="67">
        <f>'2008年8月'!R5</f>
        <v>47.733999999999995</v>
      </c>
      <c r="D5" s="68">
        <v>1</v>
      </c>
      <c r="E5" s="69"/>
      <c r="F5" s="70">
        <f>-7*D5</f>
        <v>-7</v>
      </c>
      <c r="G5" s="71"/>
      <c r="H5" s="69"/>
      <c r="I5" s="70">
        <f t="shared" si="0"/>
        <v>0</v>
      </c>
      <c r="J5" s="68"/>
      <c r="K5" s="69"/>
      <c r="L5" s="70">
        <f t="shared" si="1"/>
        <v>0</v>
      </c>
      <c r="M5" s="68">
        <v>1</v>
      </c>
      <c r="N5" s="69"/>
      <c r="O5" s="70">
        <f t="shared" si="2"/>
        <v>-10.4545</v>
      </c>
      <c r="P5" s="68"/>
      <c r="Q5" s="72"/>
      <c r="R5" s="101">
        <f t="shared" si="3"/>
        <v>30.279499999999995</v>
      </c>
    </row>
    <row r="6" spans="1:20" ht="12.75">
      <c r="A6" s="2">
        <v>4</v>
      </c>
      <c r="B6" s="103" t="s">
        <v>20</v>
      </c>
      <c r="C6" s="74">
        <f>'2008年8月'!R6</f>
        <v>60.363</v>
      </c>
      <c r="D6" s="80"/>
      <c r="E6" s="76"/>
      <c r="F6" s="77">
        <f>-7.368*D6</f>
        <v>0</v>
      </c>
      <c r="G6" s="78">
        <v>1</v>
      </c>
      <c r="H6" s="76"/>
      <c r="I6" s="77">
        <f t="shared" si="0"/>
        <v>-5.2174</v>
      </c>
      <c r="J6" s="75">
        <v>1</v>
      </c>
      <c r="K6" s="76"/>
      <c r="L6" s="77">
        <f t="shared" si="1"/>
        <v>-4.2857</v>
      </c>
      <c r="M6" s="75">
        <v>1</v>
      </c>
      <c r="N6" s="76"/>
      <c r="O6" s="77">
        <f t="shared" si="2"/>
        <v>-10.4545</v>
      </c>
      <c r="P6" s="80"/>
      <c r="Q6" s="79"/>
      <c r="R6" s="40">
        <f t="shared" si="3"/>
        <v>40.4054</v>
      </c>
      <c r="T6" s="37"/>
    </row>
    <row r="7" spans="1:18" ht="12.75">
      <c r="A7" s="2">
        <v>5</v>
      </c>
      <c r="B7" s="103" t="s">
        <v>46</v>
      </c>
      <c r="C7" s="74">
        <f>'2008年8月'!R7</f>
        <v>59.615</v>
      </c>
      <c r="D7" s="75"/>
      <c r="E7" s="76"/>
      <c r="F7" s="77">
        <f>-7.368*D7</f>
        <v>0</v>
      </c>
      <c r="G7" s="78">
        <v>1</v>
      </c>
      <c r="H7" s="76"/>
      <c r="I7" s="77">
        <f t="shared" si="0"/>
        <v>-5.2174</v>
      </c>
      <c r="J7" s="75">
        <v>1</v>
      </c>
      <c r="K7" s="76"/>
      <c r="L7" s="77">
        <f t="shared" si="1"/>
        <v>-4.2857</v>
      </c>
      <c r="M7" s="75"/>
      <c r="N7" s="76"/>
      <c r="O7" s="77">
        <f t="shared" si="2"/>
        <v>0</v>
      </c>
      <c r="P7" s="75"/>
      <c r="Q7" s="79"/>
      <c r="R7" s="40">
        <f t="shared" si="3"/>
        <v>50.111900000000006</v>
      </c>
    </row>
    <row r="8" spans="1:18" ht="12.75">
      <c r="A8" s="2">
        <v>6</v>
      </c>
      <c r="B8" s="103" t="s">
        <v>47</v>
      </c>
      <c r="C8" s="74">
        <f>'2008年8月'!R8</f>
        <v>47.945</v>
      </c>
      <c r="D8" s="75">
        <v>1</v>
      </c>
      <c r="E8" s="76"/>
      <c r="F8" s="77">
        <f>-7*D8</f>
        <v>-7</v>
      </c>
      <c r="G8" s="78">
        <v>1</v>
      </c>
      <c r="H8" s="76"/>
      <c r="I8" s="77">
        <f t="shared" si="0"/>
        <v>-5.2174</v>
      </c>
      <c r="J8" s="75">
        <v>1</v>
      </c>
      <c r="K8" s="76"/>
      <c r="L8" s="77">
        <f t="shared" si="1"/>
        <v>-4.2857</v>
      </c>
      <c r="M8" s="75">
        <v>1</v>
      </c>
      <c r="N8" s="76"/>
      <c r="O8" s="77">
        <f t="shared" si="2"/>
        <v>-10.4545</v>
      </c>
      <c r="P8" s="80"/>
      <c r="Q8" s="79"/>
      <c r="R8" s="39">
        <f t="shared" si="3"/>
        <v>20.987400000000004</v>
      </c>
    </row>
    <row r="9" spans="1:18" ht="12.75">
      <c r="A9" s="2">
        <v>7</v>
      </c>
      <c r="B9" s="106" t="s">
        <v>93</v>
      </c>
      <c r="C9" s="88">
        <f>'2008年8月'!R9</f>
        <v>63.679</v>
      </c>
      <c r="D9" s="89"/>
      <c r="E9" s="90"/>
      <c r="F9" s="91">
        <f>-7.368*D9</f>
        <v>0</v>
      </c>
      <c r="G9" s="92"/>
      <c r="H9" s="90"/>
      <c r="I9" s="91">
        <f t="shared" si="0"/>
        <v>0</v>
      </c>
      <c r="J9" s="89"/>
      <c r="K9" s="90"/>
      <c r="L9" s="91">
        <f t="shared" si="1"/>
        <v>0</v>
      </c>
      <c r="M9" s="89"/>
      <c r="N9" s="90"/>
      <c r="O9" s="91">
        <f t="shared" si="2"/>
        <v>0</v>
      </c>
      <c r="P9" s="89"/>
      <c r="Q9" s="93"/>
      <c r="R9" s="39">
        <f t="shared" si="3"/>
        <v>63.679</v>
      </c>
    </row>
    <row r="10" spans="1:18" ht="12.75">
      <c r="A10" s="2">
        <v>8</v>
      </c>
      <c r="B10" s="106" t="s">
        <v>94</v>
      </c>
      <c r="C10" s="88">
        <f>'2008年8月'!R10</f>
        <v>72.813</v>
      </c>
      <c r="D10" s="94">
        <v>1</v>
      </c>
      <c r="E10" s="90"/>
      <c r="F10" s="91">
        <f>-7*D10</f>
        <v>-7</v>
      </c>
      <c r="G10" s="92">
        <v>1</v>
      </c>
      <c r="H10" s="90"/>
      <c r="I10" s="91">
        <f t="shared" si="0"/>
        <v>-5.2174</v>
      </c>
      <c r="J10" s="89"/>
      <c r="K10" s="90"/>
      <c r="L10" s="91">
        <f t="shared" si="1"/>
        <v>0</v>
      </c>
      <c r="M10" s="89">
        <v>1</v>
      </c>
      <c r="N10" s="90"/>
      <c r="O10" s="91">
        <f t="shared" si="2"/>
        <v>-10.4545</v>
      </c>
      <c r="P10" s="94"/>
      <c r="Q10" s="93"/>
      <c r="R10" s="39">
        <f t="shared" si="3"/>
        <v>50.14110000000001</v>
      </c>
    </row>
    <row r="11" spans="1:18" ht="12.75">
      <c r="A11" s="2">
        <v>9</v>
      </c>
      <c r="B11" s="106" t="s">
        <v>95</v>
      </c>
      <c r="C11" s="88">
        <f>'2008年8月'!R11</f>
        <v>84.48</v>
      </c>
      <c r="D11" s="89"/>
      <c r="E11" s="90"/>
      <c r="F11" s="91">
        <f>-7.368*D11</f>
        <v>0</v>
      </c>
      <c r="G11" s="92"/>
      <c r="H11" s="90"/>
      <c r="I11" s="91">
        <f t="shared" si="0"/>
        <v>0</v>
      </c>
      <c r="J11" s="89"/>
      <c r="K11" s="90"/>
      <c r="L11" s="91">
        <f t="shared" si="1"/>
        <v>0</v>
      </c>
      <c r="M11" s="89"/>
      <c r="N11" s="90"/>
      <c r="O11" s="91">
        <f t="shared" si="2"/>
        <v>0</v>
      </c>
      <c r="P11" s="89"/>
      <c r="Q11" s="93"/>
      <c r="R11" s="39">
        <f t="shared" si="3"/>
        <v>84.48</v>
      </c>
    </row>
    <row r="12" spans="1:18" ht="12.75">
      <c r="A12" s="2">
        <v>10</v>
      </c>
      <c r="B12" s="104" t="s">
        <v>27</v>
      </c>
      <c r="C12" s="81">
        <f>'2008年8月'!R12</f>
        <v>54.712</v>
      </c>
      <c r="D12" s="82"/>
      <c r="E12" s="83"/>
      <c r="F12" s="84">
        <f>-7.368*D12</f>
        <v>0</v>
      </c>
      <c r="G12" s="85">
        <v>2</v>
      </c>
      <c r="H12" s="83"/>
      <c r="I12" s="84">
        <f t="shared" si="0"/>
        <v>-10.4348</v>
      </c>
      <c r="J12" s="82">
        <v>3</v>
      </c>
      <c r="K12" s="83"/>
      <c r="L12" s="84">
        <f t="shared" si="1"/>
        <v>-12.8571</v>
      </c>
      <c r="M12" s="82">
        <v>1</v>
      </c>
      <c r="N12" s="83"/>
      <c r="O12" s="84">
        <f t="shared" si="2"/>
        <v>-10.4545</v>
      </c>
      <c r="P12" s="82"/>
      <c r="Q12" s="87"/>
      <c r="R12" s="39">
        <f t="shared" si="3"/>
        <v>20.965600000000006</v>
      </c>
    </row>
    <row r="13" spans="1:18" ht="12.75">
      <c r="A13" s="2">
        <v>11</v>
      </c>
      <c r="B13" s="104" t="s">
        <v>96</v>
      </c>
      <c r="C13" s="81">
        <f>'2008年8月'!R13</f>
        <v>64.087</v>
      </c>
      <c r="D13" s="82">
        <v>1</v>
      </c>
      <c r="E13" s="83"/>
      <c r="F13" s="84">
        <f>-7*D13</f>
        <v>-7</v>
      </c>
      <c r="G13" s="85">
        <v>1</v>
      </c>
      <c r="H13" s="83"/>
      <c r="I13" s="84">
        <f t="shared" si="0"/>
        <v>-5.2174</v>
      </c>
      <c r="J13" s="82"/>
      <c r="K13" s="83"/>
      <c r="L13" s="84">
        <f t="shared" si="1"/>
        <v>0</v>
      </c>
      <c r="M13" s="82">
        <v>1</v>
      </c>
      <c r="N13" s="83"/>
      <c r="O13" s="84">
        <f t="shared" si="2"/>
        <v>-10.4545</v>
      </c>
      <c r="P13" s="86"/>
      <c r="Q13" s="87"/>
      <c r="R13" s="40">
        <f t="shared" si="3"/>
        <v>41.41510000000001</v>
      </c>
    </row>
    <row r="14" spans="1:18" ht="12.75">
      <c r="A14" s="2">
        <v>12</v>
      </c>
      <c r="B14" s="104" t="s">
        <v>29</v>
      </c>
      <c r="C14" s="81">
        <f>'2008年8月'!R14</f>
        <v>64.61200000000001</v>
      </c>
      <c r="D14" s="82"/>
      <c r="E14" s="83"/>
      <c r="F14" s="84">
        <f>-7.368*D14</f>
        <v>0</v>
      </c>
      <c r="G14" s="85">
        <v>1</v>
      </c>
      <c r="H14" s="83"/>
      <c r="I14" s="84">
        <f t="shared" si="0"/>
        <v>-5.2174</v>
      </c>
      <c r="J14" s="82">
        <v>1</v>
      </c>
      <c r="K14" s="83"/>
      <c r="L14" s="84">
        <f t="shared" si="1"/>
        <v>-4.2857</v>
      </c>
      <c r="M14" s="82">
        <v>1</v>
      </c>
      <c r="N14" s="83"/>
      <c r="O14" s="84">
        <f t="shared" si="2"/>
        <v>-10.4545</v>
      </c>
      <c r="P14" s="82"/>
      <c r="Q14" s="87"/>
      <c r="R14" s="40">
        <f t="shared" si="3"/>
        <v>44.65440000000001</v>
      </c>
    </row>
    <row r="15" spans="1:18" ht="12.75">
      <c r="A15" s="2">
        <v>13</v>
      </c>
      <c r="B15" s="105" t="s">
        <v>30</v>
      </c>
      <c r="C15" s="60">
        <f>'2008年8月'!R15</f>
        <v>53.80800000000001</v>
      </c>
      <c r="D15" s="61"/>
      <c r="E15" s="62"/>
      <c r="F15" s="63">
        <f>-7.368*D15</f>
        <v>0</v>
      </c>
      <c r="G15" s="64"/>
      <c r="H15" s="62"/>
      <c r="I15" s="63">
        <f t="shared" si="0"/>
        <v>0</v>
      </c>
      <c r="J15" s="61"/>
      <c r="K15" s="62"/>
      <c r="L15" s="63">
        <f t="shared" si="1"/>
        <v>0</v>
      </c>
      <c r="M15" s="61"/>
      <c r="N15" s="62"/>
      <c r="O15" s="63">
        <f t="shared" si="2"/>
        <v>0</v>
      </c>
      <c r="P15" s="66"/>
      <c r="Q15" s="65"/>
      <c r="R15" s="39">
        <f t="shared" si="3"/>
        <v>53.80800000000001</v>
      </c>
    </row>
    <row r="16" spans="1:18" ht="12.75">
      <c r="A16" s="2">
        <v>14</v>
      </c>
      <c r="B16" s="105" t="s">
        <v>88</v>
      </c>
      <c r="C16" s="60">
        <f>'2008年8月'!R16</f>
        <v>41.513</v>
      </c>
      <c r="D16" s="61">
        <v>1</v>
      </c>
      <c r="E16" s="62"/>
      <c r="F16" s="63">
        <f>-7*D16</f>
        <v>-7</v>
      </c>
      <c r="G16" s="64"/>
      <c r="H16" s="62"/>
      <c r="I16" s="63">
        <f t="shared" si="0"/>
        <v>0</v>
      </c>
      <c r="J16" s="61">
        <v>1</v>
      </c>
      <c r="K16" s="62"/>
      <c r="L16" s="63">
        <f>-4.2857*J16-10</f>
        <v>-14.2857</v>
      </c>
      <c r="M16" s="61">
        <v>1</v>
      </c>
      <c r="N16" s="62"/>
      <c r="O16" s="63">
        <f t="shared" si="2"/>
        <v>-10.4545</v>
      </c>
      <c r="P16" s="61"/>
      <c r="Q16" s="65"/>
      <c r="R16" s="39">
        <f t="shared" si="3"/>
        <v>9.7728</v>
      </c>
    </row>
    <row r="17" spans="1:18" ht="12.75">
      <c r="A17" s="2">
        <v>15</v>
      </c>
      <c r="B17" s="105" t="s">
        <v>55</v>
      </c>
      <c r="C17" s="60">
        <f>'2008年8月'!R17</f>
        <v>48.80800000000001</v>
      </c>
      <c r="D17" s="61">
        <v>1</v>
      </c>
      <c r="E17" s="62"/>
      <c r="F17" s="63">
        <f>-7*D17</f>
        <v>-7</v>
      </c>
      <c r="G17" s="64">
        <v>1</v>
      </c>
      <c r="H17" s="62"/>
      <c r="I17" s="63">
        <f t="shared" si="0"/>
        <v>-5.2174</v>
      </c>
      <c r="J17" s="61"/>
      <c r="K17" s="62"/>
      <c r="L17" s="63">
        <f aca="true" t="shared" si="4" ref="L17:L27">-4.2857*J17</f>
        <v>0</v>
      </c>
      <c r="M17" s="61">
        <v>1</v>
      </c>
      <c r="N17" s="62"/>
      <c r="O17" s="63">
        <f t="shared" si="2"/>
        <v>-10.4545</v>
      </c>
      <c r="P17" s="66"/>
      <c r="Q17" s="65"/>
      <c r="R17" s="39">
        <f t="shared" si="3"/>
        <v>26.13610000000001</v>
      </c>
    </row>
    <row r="18" spans="1:18" ht="12.75">
      <c r="A18" s="2">
        <v>16</v>
      </c>
      <c r="B18" s="102" t="s">
        <v>34</v>
      </c>
      <c r="C18" s="67">
        <f>'2008年8月'!R18</f>
        <v>61.30800000000001</v>
      </c>
      <c r="D18" s="68">
        <v>1</v>
      </c>
      <c r="E18" s="69"/>
      <c r="F18" s="70">
        <f>-7*D18</f>
        <v>-7</v>
      </c>
      <c r="G18" s="71"/>
      <c r="H18" s="69"/>
      <c r="I18" s="70">
        <f t="shared" si="0"/>
        <v>0</v>
      </c>
      <c r="J18" s="68">
        <v>1</v>
      </c>
      <c r="K18" s="69"/>
      <c r="L18" s="70">
        <f t="shared" si="4"/>
        <v>-4.2857</v>
      </c>
      <c r="M18" s="68">
        <v>1</v>
      </c>
      <c r="N18" s="69"/>
      <c r="O18" s="70">
        <f t="shared" si="2"/>
        <v>-10.4545</v>
      </c>
      <c r="P18" s="68"/>
      <c r="Q18" s="72"/>
      <c r="R18" s="39">
        <f t="shared" si="3"/>
        <v>39.567800000000005</v>
      </c>
    </row>
    <row r="19" spans="1:20" ht="12.75">
      <c r="A19" s="2">
        <v>17</v>
      </c>
      <c r="B19" s="102" t="s">
        <v>56</v>
      </c>
      <c r="C19" s="67">
        <f>'2008年8月'!R19</f>
        <v>76.775</v>
      </c>
      <c r="D19" s="68">
        <v>1</v>
      </c>
      <c r="E19" s="69"/>
      <c r="F19" s="70">
        <f>-7*D19</f>
        <v>-7</v>
      </c>
      <c r="G19" s="71"/>
      <c r="H19" s="69"/>
      <c r="I19" s="70">
        <f t="shared" si="0"/>
        <v>0</v>
      </c>
      <c r="J19" s="68">
        <v>3</v>
      </c>
      <c r="K19" s="69"/>
      <c r="L19" s="70">
        <f t="shared" si="4"/>
        <v>-12.8571</v>
      </c>
      <c r="M19" s="68"/>
      <c r="N19" s="69"/>
      <c r="O19" s="70">
        <f t="shared" si="2"/>
        <v>0</v>
      </c>
      <c r="P19" s="73"/>
      <c r="Q19" s="72"/>
      <c r="R19" s="39">
        <f t="shared" si="3"/>
        <v>56.9179</v>
      </c>
      <c r="T19" s="37"/>
    </row>
    <row r="20" spans="1:18" ht="12.75">
      <c r="A20" s="2">
        <v>18</v>
      </c>
      <c r="B20" s="102" t="s">
        <v>57</v>
      </c>
      <c r="C20" s="67">
        <f>'2008年8月'!R20</f>
        <v>70.158</v>
      </c>
      <c r="D20" s="68"/>
      <c r="E20" s="69"/>
      <c r="F20" s="70">
        <f>-7.368*D20</f>
        <v>0</v>
      </c>
      <c r="G20" s="71"/>
      <c r="H20" s="69"/>
      <c r="I20" s="70">
        <f t="shared" si="0"/>
        <v>0</v>
      </c>
      <c r="J20" s="68"/>
      <c r="K20" s="69"/>
      <c r="L20" s="70">
        <f t="shared" si="4"/>
        <v>0</v>
      </c>
      <c r="M20" s="68"/>
      <c r="N20" s="69"/>
      <c r="O20" s="70">
        <f t="shared" si="2"/>
        <v>0</v>
      </c>
      <c r="P20" s="68"/>
      <c r="Q20" s="72"/>
      <c r="R20" s="39">
        <f t="shared" si="3"/>
        <v>70.158</v>
      </c>
    </row>
    <row r="21" spans="1:18" ht="12.75">
      <c r="A21" s="2">
        <v>19</v>
      </c>
      <c r="B21" s="103" t="s">
        <v>69</v>
      </c>
      <c r="C21" s="74">
        <f>'2008年8月'!R21</f>
        <v>45.158</v>
      </c>
      <c r="D21" s="75"/>
      <c r="E21" s="76"/>
      <c r="F21" s="77">
        <f>-7.368*D21</f>
        <v>0</v>
      </c>
      <c r="G21" s="78">
        <v>1</v>
      </c>
      <c r="H21" s="96"/>
      <c r="I21" s="77">
        <f t="shared" si="0"/>
        <v>-5.2174</v>
      </c>
      <c r="J21" s="75"/>
      <c r="K21" s="96"/>
      <c r="L21" s="77">
        <f t="shared" si="4"/>
        <v>0</v>
      </c>
      <c r="M21" s="75"/>
      <c r="N21" s="96"/>
      <c r="O21" s="77">
        <f t="shared" si="2"/>
        <v>0</v>
      </c>
      <c r="P21" s="80"/>
      <c r="Q21" s="79"/>
      <c r="R21" s="39">
        <f t="shared" si="3"/>
        <v>39.9406</v>
      </c>
    </row>
    <row r="22" spans="1:18" ht="12.75">
      <c r="A22" s="2">
        <v>20</v>
      </c>
      <c r="B22" s="103" t="s">
        <v>40</v>
      </c>
      <c r="C22" s="74">
        <f>'2008年8月'!R22</f>
        <v>55.158</v>
      </c>
      <c r="D22" s="75">
        <v>1</v>
      </c>
      <c r="E22" s="76"/>
      <c r="F22" s="77">
        <f>-7*D22</f>
        <v>-7</v>
      </c>
      <c r="G22" s="78">
        <v>1</v>
      </c>
      <c r="H22" s="96"/>
      <c r="I22" s="77">
        <f t="shared" si="0"/>
        <v>-5.2174</v>
      </c>
      <c r="J22" s="75">
        <v>1</v>
      </c>
      <c r="K22" s="96"/>
      <c r="L22" s="77">
        <f t="shared" si="4"/>
        <v>-4.2857</v>
      </c>
      <c r="M22" s="75">
        <v>1</v>
      </c>
      <c r="N22" s="96"/>
      <c r="O22" s="77">
        <f t="shared" si="2"/>
        <v>-10.4545</v>
      </c>
      <c r="P22" s="75"/>
      <c r="Q22" s="79"/>
      <c r="R22" s="39">
        <f t="shared" si="3"/>
        <v>28.200400000000005</v>
      </c>
    </row>
    <row r="23" spans="1:18" ht="12.75">
      <c r="A23" s="2">
        <v>21</v>
      </c>
      <c r="B23" s="103" t="s">
        <v>41</v>
      </c>
      <c r="C23" s="74">
        <f>'2008年8月'!R23</f>
        <v>83.955</v>
      </c>
      <c r="D23" s="75">
        <v>1</v>
      </c>
      <c r="E23" s="76"/>
      <c r="F23" s="77">
        <f>-7*D23</f>
        <v>-7</v>
      </c>
      <c r="G23" s="78"/>
      <c r="H23" s="96"/>
      <c r="I23" s="77">
        <f t="shared" si="0"/>
        <v>0</v>
      </c>
      <c r="J23" s="75"/>
      <c r="K23" s="96"/>
      <c r="L23" s="77">
        <f t="shared" si="4"/>
        <v>0</v>
      </c>
      <c r="M23" s="75"/>
      <c r="N23" s="96"/>
      <c r="O23" s="77">
        <f t="shared" si="2"/>
        <v>0</v>
      </c>
      <c r="P23" s="80"/>
      <c r="Q23" s="79"/>
      <c r="R23" s="39">
        <f t="shared" si="3"/>
        <v>76.955</v>
      </c>
    </row>
    <row r="24" spans="1:18" ht="12.75">
      <c r="A24" s="2">
        <v>22</v>
      </c>
      <c r="B24" s="106" t="s">
        <v>64</v>
      </c>
      <c r="C24" s="88">
        <f>'2008年8月'!R24</f>
        <v>74.533</v>
      </c>
      <c r="D24" s="89">
        <v>1</v>
      </c>
      <c r="E24" s="90"/>
      <c r="F24" s="91">
        <f>-7*D24</f>
        <v>-7</v>
      </c>
      <c r="G24" s="92">
        <v>1</v>
      </c>
      <c r="H24" s="97"/>
      <c r="I24" s="91">
        <f t="shared" si="0"/>
        <v>-5.2174</v>
      </c>
      <c r="J24" s="89">
        <v>1</v>
      </c>
      <c r="K24" s="97"/>
      <c r="L24" s="91">
        <f t="shared" si="4"/>
        <v>-4.2857</v>
      </c>
      <c r="M24" s="89"/>
      <c r="N24" s="97"/>
      <c r="O24" s="91">
        <f t="shared" si="2"/>
        <v>0</v>
      </c>
      <c r="P24" s="89"/>
      <c r="Q24" s="93"/>
      <c r="R24" s="39">
        <f t="shared" si="3"/>
        <v>58.029900000000005</v>
      </c>
    </row>
    <row r="25" spans="1:18" ht="12.75">
      <c r="A25" s="2">
        <v>23</v>
      </c>
      <c r="B25" s="106" t="s">
        <v>45</v>
      </c>
      <c r="C25" s="88">
        <f>'2008年8月'!R25</f>
        <v>65.158</v>
      </c>
      <c r="D25" s="89">
        <v>1</v>
      </c>
      <c r="E25" s="90"/>
      <c r="F25" s="91">
        <f>-7*D25</f>
        <v>-7</v>
      </c>
      <c r="G25" s="92">
        <v>1</v>
      </c>
      <c r="H25" s="97"/>
      <c r="I25" s="91">
        <f t="shared" si="0"/>
        <v>-5.2174</v>
      </c>
      <c r="J25" s="89">
        <v>1</v>
      </c>
      <c r="K25" s="97"/>
      <c r="L25" s="91">
        <f t="shared" si="4"/>
        <v>-4.2857</v>
      </c>
      <c r="M25" s="89"/>
      <c r="N25" s="97"/>
      <c r="O25" s="91">
        <f t="shared" si="2"/>
        <v>0</v>
      </c>
      <c r="P25" s="89"/>
      <c r="Q25" s="93"/>
      <c r="R25" s="39">
        <f t="shared" si="3"/>
        <v>48.654900000000005</v>
      </c>
    </row>
    <row r="26" spans="1:18" ht="12.75">
      <c r="A26" s="2">
        <v>24</v>
      </c>
      <c r="B26" s="106" t="s">
        <v>77</v>
      </c>
      <c r="C26" s="88">
        <f>'2008年8月'!R26</f>
        <v>45.399</v>
      </c>
      <c r="D26" s="89">
        <v>1</v>
      </c>
      <c r="E26" s="90"/>
      <c r="F26" s="91">
        <f>-7*D26</f>
        <v>-7</v>
      </c>
      <c r="G26" s="92">
        <v>1</v>
      </c>
      <c r="H26" s="90"/>
      <c r="I26" s="91">
        <f t="shared" si="0"/>
        <v>-5.2174</v>
      </c>
      <c r="J26" s="89">
        <v>1</v>
      </c>
      <c r="K26" s="90"/>
      <c r="L26" s="91">
        <f t="shared" si="4"/>
        <v>-4.2857</v>
      </c>
      <c r="M26" s="89">
        <v>1</v>
      </c>
      <c r="N26" s="90"/>
      <c r="O26" s="91">
        <f t="shared" si="2"/>
        <v>-10.4545</v>
      </c>
      <c r="P26" s="94"/>
      <c r="Q26" s="93"/>
      <c r="R26" s="39">
        <f t="shared" si="3"/>
        <v>18.441400000000005</v>
      </c>
    </row>
    <row r="27" spans="1:18" ht="12.75">
      <c r="A27" s="2">
        <v>25</v>
      </c>
      <c r="B27" s="104" t="s">
        <v>97</v>
      </c>
      <c r="C27" s="81">
        <f>'2008年8月'!R27</f>
        <v>42.632</v>
      </c>
      <c r="D27" s="82"/>
      <c r="E27" s="98"/>
      <c r="F27" s="84">
        <f>-7.368*D27</f>
        <v>0</v>
      </c>
      <c r="G27" s="85"/>
      <c r="H27" s="98"/>
      <c r="I27" s="84">
        <f t="shared" si="0"/>
        <v>0</v>
      </c>
      <c r="J27" s="82"/>
      <c r="K27" s="98"/>
      <c r="L27" s="84">
        <f t="shared" si="4"/>
        <v>0</v>
      </c>
      <c r="M27" s="82"/>
      <c r="N27" s="98"/>
      <c r="O27" s="84">
        <f t="shared" si="2"/>
        <v>0</v>
      </c>
      <c r="P27" s="82"/>
      <c r="Q27" s="87"/>
      <c r="R27" s="39">
        <f t="shared" si="3"/>
        <v>42.632</v>
      </c>
    </row>
    <row r="28" spans="1:18" ht="12.75">
      <c r="A28" s="2">
        <v>26</v>
      </c>
      <c r="B28" s="104" t="s">
        <v>98</v>
      </c>
      <c r="C28" s="81">
        <f>'2008年8月'!R28</f>
        <v>0</v>
      </c>
      <c r="D28" s="86"/>
      <c r="E28" s="98"/>
      <c r="F28" s="84"/>
      <c r="G28" s="86"/>
      <c r="H28" s="98"/>
      <c r="I28" s="84">
        <f t="shared" si="0"/>
        <v>0</v>
      </c>
      <c r="J28" s="82">
        <v>0</v>
      </c>
      <c r="K28" s="98">
        <v>80</v>
      </c>
      <c r="L28" s="84">
        <f>-4.2857*J28-10</f>
        <v>-10</v>
      </c>
      <c r="M28" s="82">
        <v>1</v>
      </c>
      <c r="N28" s="98"/>
      <c r="O28" s="84">
        <f>-10.4545*M28-10</f>
        <v>-20.4545</v>
      </c>
      <c r="P28" s="86"/>
      <c r="Q28" s="87"/>
      <c r="R28" s="39">
        <f t="shared" si="3"/>
        <v>49.545500000000004</v>
      </c>
    </row>
    <row r="29" spans="1:18" ht="12.75">
      <c r="A29" s="2">
        <v>27</v>
      </c>
      <c r="B29" s="104" t="s">
        <v>86</v>
      </c>
      <c r="C29" s="81">
        <f>'2008年8月'!R29</f>
        <v>87.632</v>
      </c>
      <c r="D29" s="82">
        <v>1</v>
      </c>
      <c r="E29" s="83"/>
      <c r="F29" s="84">
        <f>-7*D29</f>
        <v>-7</v>
      </c>
      <c r="G29" s="86"/>
      <c r="H29" s="98"/>
      <c r="I29" s="84">
        <f t="shared" si="0"/>
        <v>0</v>
      </c>
      <c r="J29" s="82">
        <v>1</v>
      </c>
      <c r="K29" s="98"/>
      <c r="L29" s="84">
        <f>-4.2857*J29</f>
        <v>-4.2857</v>
      </c>
      <c r="M29" s="82"/>
      <c r="N29" s="98"/>
      <c r="O29" s="84">
        <f>-10.4545*M29</f>
        <v>0</v>
      </c>
      <c r="P29" s="82"/>
      <c r="Q29" s="87"/>
      <c r="R29" s="39">
        <f t="shared" si="3"/>
        <v>76.3463</v>
      </c>
    </row>
    <row r="30" spans="1:19" ht="12.75">
      <c r="A30" s="2">
        <v>28</v>
      </c>
      <c r="B30" s="105" t="s">
        <v>108</v>
      </c>
      <c r="C30" s="60">
        <f>'2008年8月'!R30</f>
        <v>-5</v>
      </c>
      <c r="D30" s="66"/>
      <c r="E30" s="99"/>
      <c r="F30" s="63"/>
      <c r="G30" s="66">
        <v>1</v>
      </c>
      <c r="H30" s="99">
        <v>100</v>
      </c>
      <c r="I30" s="63">
        <f t="shared" si="0"/>
        <v>-5.2174</v>
      </c>
      <c r="J30" s="61">
        <v>1</v>
      </c>
      <c r="K30" s="99"/>
      <c r="L30" s="63">
        <f>-4.2857*J30</f>
        <v>-4.2857</v>
      </c>
      <c r="M30" s="61">
        <v>1</v>
      </c>
      <c r="N30" s="99"/>
      <c r="O30" s="63">
        <f>-10.4545*M30-10</f>
        <v>-20.4545</v>
      </c>
      <c r="P30" s="66"/>
      <c r="Q30" s="65"/>
      <c r="R30" s="39">
        <f t="shared" si="3"/>
        <v>65.0424</v>
      </c>
      <c r="S30" s="37"/>
    </row>
    <row r="31" spans="1:18" ht="12.75">
      <c r="A31" s="2">
        <v>29</v>
      </c>
      <c r="B31" s="105" t="s">
        <v>89</v>
      </c>
      <c r="C31" s="60">
        <f>'2008年8月'!R31</f>
        <v>95</v>
      </c>
      <c r="D31" s="61">
        <v>1</v>
      </c>
      <c r="E31" s="99"/>
      <c r="F31" s="63">
        <f>-7*D31</f>
        <v>-7</v>
      </c>
      <c r="G31" s="66">
        <v>1</v>
      </c>
      <c r="H31" s="99"/>
      <c r="I31" s="63">
        <f t="shared" si="0"/>
        <v>-5.2174</v>
      </c>
      <c r="J31" s="61">
        <v>1</v>
      </c>
      <c r="K31" s="99"/>
      <c r="L31" s="63">
        <f>-4.2857*J31-10</f>
        <v>-14.2857</v>
      </c>
      <c r="M31" s="61"/>
      <c r="N31" s="99"/>
      <c r="O31" s="63">
        <f aca="true" t="shared" si="5" ref="O31:O41">-10.4545*M31</f>
        <v>0</v>
      </c>
      <c r="P31" s="61"/>
      <c r="Q31" s="65"/>
      <c r="R31" s="39">
        <f t="shared" si="3"/>
        <v>68.4969</v>
      </c>
    </row>
    <row r="32" spans="1:18" ht="12.75">
      <c r="A32" s="2">
        <v>30</v>
      </c>
      <c r="B32" s="105" t="s">
        <v>101</v>
      </c>
      <c r="C32" s="60">
        <f>'2008年8月'!R32</f>
        <v>0</v>
      </c>
      <c r="D32" s="66">
        <v>0</v>
      </c>
      <c r="E32" s="99">
        <v>100</v>
      </c>
      <c r="F32" s="63">
        <f>-7.368*D32</f>
        <v>0</v>
      </c>
      <c r="G32" s="66">
        <v>1</v>
      </c>
      <c r="H32" s="99"/>
      <c r="I32" s="63">
        <f t="shared" si="0"/>
        <v>-5.2174</v>
      </c>
      <c r="J32" s="61"/>
      <c r="K32" s="99"/>
      <c r="L32" s="63">
        <f aca="true" t="shared" si="6" ref="L32:L39">-4.2857*J32</f>
        <v>0</v>
      </c>
      <c r="M32" s="61"/>
      <c r="N32" s="99"/>
      <c r="O32" s="63">
        <f t="shared" si="5"/>
        <v>0</v>
      </c>
      <c r="P32" s="66"/>
      <c r="Q32" s="65"/>
      <c r="R32" s="39">
        <f t="shared" si="3"/>
        <v>94.7826</v>
      </c>
    </row>
    <row r="33" spans="1:18" ht="12.75">
      <c r="A33" s="2">
        <v>31</v>
      </c>
      <c r="B33" s="102" t="s">
        <v>102</v>
      </c>
      <c r="C33" s="67">
        <f>'2008年8月'!R33</f>
        <v>0</v>
      </c>
      <c r="D33" s="68">
        <v>1</v>
      </c>
      <c r="E33" s="69">
        <v>100</v>
      </c>
      <c r="F33" s="70">
        <f>-7*D33</f>
        <v>-7</v>
      </c>
      <c r="G33" s="71">
        <v>1</v>
      </c>
      <c r="H33" s="69"/>
      <c r="I33" s="70">
        <f t="shared" si="0"/>
        <v>-5.2174</v>
      </c>
      <c r="J33" s="68">
        <v>1</v>
      </c>
      <c r="K33" s="69"/>
      <c r="L33" s="70">
        <f t="shared" si="6"/>
        <v>-4.2857</v>
      </c>
      <c r="M33" s="68">
        <v>1</v>
      </c>
      <c r="N33" s="69"/>
      <c r="O33" s="70">
        <f t="shared" si="5"/>
        <v>-10.4545</v>
      </c>
      <c r="P33" s="68"/>
      <c r="Q33" s="72"/>
      <c r="R33" s="39">
        <f aca="true" t="shared" si="7" ref="R33:R39">C33+E33+F33+H33+I33+K33+L33+N33+O33+Q33</f>
        <v>73.0424</v>
      </c>
    </row>
    <row r="34" spans="1:18" ht="12.75">
      <c r="A34" s="2">
        <v>32</v>
      </c>
      <c r="B34" s="102" t="s">
        <v>103</v>
      </c>
      <c r="C34" s="67">
        <f>'2008年8月'!R34</f>
        <v>0</v>
      </c>
      <c r="D34" s="68">
        <v>1</v>
      </c>
      <c r="E34" s="69">
        <v>100</v>
      </c>
      <c r="F34" s="70">
        <f>-7*D34</f>
        <v>-7</v>
      </c>
      <c r="G34" s="71">
        <v>1</v>
      </c>
      <c r="H34" s="69"/>
      <c r="I34" s="70">
        <f>-5.2174*G34-10</f>
        <v>-15.2174</v>
      </c>
      <c r="J34" s="68">
        <v>1</v>
      </c>
      <c r="K34" s="69"/>
      <c r="L34" s="70">
        <f t="shared" si="6"/>
        <v>-4.2857</v>
      </c>
      <c r="M34" s="68">
        <v>1</v>
      </c>
      <c r="N34" s="69"/>
      <c r="O34" s="70">
        <f t="shared" si="5"/>
        <v>-10.4545</v>
      </c>
      <c r="P34" s="73"/>
      <c r="Q34" s="72"/>
      <c r="R34" s="39">
        <f t="shared" si="7"/>
        <v>63.0424</v>
      </c>
    </row>
    <row r="35" spans="1:18" ht="12.75">
      <c r="A35" s="2">
        <v>33</v>
      </c>
      <c r="B35" s="102" t="s">
        <v>104</v>
      </c>
      <c r="C35" s="67">
        <f>'2008年8月'!R35</f>
        <v>0</v>
      </c>
      <c r="D35" s="68">
        <v>1</v>
      </c>
      <c r="E35" s="69">
        <v>100</v>
      </c>
      <c r="F35" s="70">
        <f>-7*D35</f>
        <v>-7</v>
      </c>
      <c r="G35" s="71">
        <v>1</v>
      </c>
      <c r="H35" s="69"/>
      <c r="I35" s="70">
        <f>-5.2174*G35</f>
        <v>-5.2174</v>
      </c>
      <c r="J35" s="68">
        <v>1</v>
      </c>
      <c r="K35" s="69"/>
      <c r="L35" s="70">
        <f t="shared" si="6"/>
        <v>-4.2857</v>
      </c>
      <c r="M35" s="68"/>
      <c r="N35" s="69"/>
      <c r="O35" s="70">
        <f t="shared" si="5"/>
        <v>0</v>
      </c>
      <c r="P35" s="68"/>
      <c r="Q35" s="72"/>
      <c r="R35" s="39">
        <f t="shared" si="7"/>
        <v>83.4969</v>
      </c>
    </row>
    <row r="36" spans="1:18" ht="12.75">
      <c r="A36" s="2">
        <v>34</v>
      </c>
      <c r="B36" s="103" t="s">
        <v>109</v>
      </c>
      <c r="C36" s="74">
        <f>'2008年8月'!R36</f>
        <v>0</v>
      </c>
      <c r="D36" s="75"/>
      <c r="E36" s="76"/>
      <c r="F36" s="77"/>
      <c r="G36" s="78">
        <v>1</v>
      </c>
      <c r="H36" s="96">
        <v>100</v>
      </c>
      <c r="I36" s="77">
        <f>-5.2174*G36</f>
        <v>-5.2174</v>
      </c>
      <c r="J36" s="75">
        <v>1</v>
      </c>
      <c r="K36" s="96"/>
      <c r="L36" s="77">
        <f t="shared" si="6"/>
        <v>-4.2857</v>
      </c>
      <c r="M36" s="75">
        <v>1</v>
      </c>
      <c r="N36" s="96"/>
      <c r="O36" s="77">
        <f t="shared" si="5"/>
        <v>-10.4545</v>
      </c>
      <c r="P36" s="80"/>
      <c r="Q36" s="79"/>
      <c r="R36" s="39">
        <f t="shared" si="7"/>
        <v>80.0424</v>
      </c>
    </row>
    <row r="37" spans="1:19" ht="12.75">
      <c r="A37" s="2">
        <v>35</v>
      </c>
      <c r="B37" s="103" t="s">
        <v>116</v>
      </c>
      <c r="C37" s="74">
        <v>0</v>
      </c>
      <c r="D37" s="75"/>
      <c r="E37" s="76"/>
      <c r="F37" s="77"/>
      <c r="G37" s="78"/>
      <c r="H37" s="96"/>
      <c r="I37" s="77"/>
      <c r="J37" s="75">
        <v>1</v>
      </c>
      <c r="K37" s="96">
        <v>100</v>
      </c>
      <c r="L37" s="77">
        <f t="shared" si="6"/>
        <v>-4.2857</v>
      </c>
      <c r="M37" s="75"/>
      <c r="N37" s="96"/>
      <c r="O37" s="77">
        <f t="shared" si="5"/>
        <v>0</v>
      </c>
      <c r="P37" s="75"/>
      <c r="Q37" s="79"/>
      <c r="R37" s="39">
        <f t="shared" si="7"/>
        <v>95.7143</v>
      </c>
      <c r="S37" s="37"/>
    </row>
    <row r="38" spans="1:18" ht="12.75">
      <c r="A38" s="2">
        <v>36</v>
      </c>
      <c r="B38" s="103" t="s">
        <v>123</v>
      </c>
      <c r="C38" s="74">
        <v>0</v>
      </c>
      <c r="D38" s="75"/>
      <c r="E38" s="76"/>
      <c r="F38" s="77"/>
      <c r="G38" s="78"/>
      <c r="H38" s="96"/>
      <c r="I38" s="77"/>
      <c r="J38" s="75">
        <v>1</v>
      </c>
      <c r="K38" s="96">
        <v>100</v>
      </c>
      <c r="L38" s="77">
        <f t="shared" si="6"/>
        <v>-4.2857</v>
      </c>
      <c r="M38" s="75">
        <v>1</v>
      </c>
      <c r="N38" s="96"/>
      <c r="O38" s="77">
        <f t="shared" si="5"/>
        <v>-10.4545</v>
      </c>
      <c r="P38" s="80"/>
      <c r="Q38" s="79"/>
      <c r="R38" s="39">
        <f t="shared" si="7"/>
        <v>85.2598</v>
      </c>
    </row>
    <row r="39" spans="1:18" ht="12.75">
      <c r="A39" s="2">
        <v>37</v>
      </c>
      <c r="B39" s="106" t="s">
        <v>117</v>
      </c>
      <c r="C39" s="88">
        <f>'2008年8月'!R39</f>
        <v>0</v>
      </c>
      <c r="D39" s="89"/>
      <c r="E39" s="90"/>
      <c r="F39" s="91"/>
      <c r="G39" s="92"/>
      <c r="H39" s="97"/>
      <c r="I39" s="91"/>
      <c r="J39" s="89">
        <v>1</v>
      </c>
      <c r="K39" s="97">
        <v>100</v>
      </c>
      <c r="L39" s="91">
        <f t="shared" si="6"/>
        <v>-4.2857</v>
      </c>
      <c r="M39" s="89"/>
      <c r="N39" s="97"/>
      <c r="O39" s="91">
        <f t="shared" si="5"/>
        <v>0</v>
      </c>
      <c r="P39" s="89"/>
      <c r="Q39" s="93"/>
      <c r="R39" s="39">
        <f t="shared" si="7"/>
        <v>95.7143</v>
      </c>
    </row>
    <row r="40" spans="1:18" ht="12.75">
      <c r="A40" s="2">
        <v>38</v>
      </c>
      <c r="B40" s="106" t="s">
        <v>125</v>
      </c>
      <c r="C40" s="88">
        <f>'2008年8月'!R40</f>
        <v>0</v>
      </c>
      <c r="D40" s="89"/>
      <c r="E40" s="90"/>
      <c r="F40" s="91"/>
      <c r="G40" s="92"/>
      <c r="H40" s="97"/>
      <c r="I40" s="91"/>
      <c r="J40" s="89"/>
      <c r="K40" s="97"/>
      <c r="L40" s="91"/>
      <c r="M40" s="89">
        <v>1</v>
      </c>
      <c r="N40" s="97">
        <v>100</v>
      </c>
      <c r="O40" s="91">
        <f t="shared" si="5"/>
        <v>-10.4545</v>
      </c>
      <c r="P40" s="89"/>
      <c r="Q40" s="93"/>
      <c r="R40" s="39">
        <f>C40+E40+F40+H40+I40+K40+L40+N40+O40+Q40</f>
        <v>89.5455</v>
      </c>
    </row>
    <row r="41" spans="1:18" ht="12.75">
      <c r="A41" s="2">
        <v>39</v>
      </c>
      <c r="B41" s="106" t="s">
        <v>124</v>
      </c>
      <c r="C41" s="88">
        <f>'2008年8月'!R41</f>
        <v>0</v>
      </c>
      <c r="D41" s="89"/>
      <c r="E41" s="90"/>
      <c r="F41" s="91"/>
      <c r="G41" s="92"/>
      <c r="H41" s="97"/>
      <c r="I41" s="91"/>
      <c r="J41" s="89"/>
      <c r="K41" s="97"/>
      <c r="L41" s="91"/>
      <c r="M41" s="89">
        <v>1</v>
      </c>
      <c r="N41" s="97">
        <v>100</v>
      </c>
      <c r="O41" s="91">
        <f t="shared" si="5"/>
        <v>-10.4545</v>
      </c>
      <c r="P41" s="89"/>
      <c r="Q41" s="93"/>
      <c r="R41" s="39">
        <f>C41+E41+F41+H41+I41+K41+L41+N41+O41+Q41</f>
        <v>89.5455</v>
      </c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2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2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39</v>
      </c>
      <c r="D54" s="1">
        <f>SUM(D3:D52)</f>
        <v>20</v>
      </c>
      <c r="F54" s="1">
        <f>E65/D54</f>
        <v>7</v>
      </c>
      <c r="G54" s="1">
        <f>SUM(G3:G53)</f>
        <v>23</v>
      </c>
      <c r="I54" s="1">
        <f>H65/G54</f>
        <v>5.217391304347826</v>
      </c>
      <c r="J54" s="1">
        <f>SUM(J3:J53)</f>
        <v>28</v>
      </c>
      <c r="L54" s="1">
        <f>K65/J54</f>
        <v>4.285714285714286</v>
      </c>
      <c r="M54" s="1">
        <f>SUM(M3:M53)</f>
        <v>22</v>
      </c>
      <c r="O54" s="1">
        <f>N65/M54</f>
        <v>10.454545454545455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11:18" ht="12.75">
      <c r="K56" s="37" t="s">
        <v>118</v>
      </c>
      <c r="L56" s="1">
        <f>SUM(L3:L52)</f>
        <v>-149.9996</v>
      </c>
      <c r="N56" s="37" t="s">
        <v>118</v>
      </c>
      <c r="O56" s="1">
        <f>SUM(O3:O52)</f>
        <v>-249.99899999999994</v>
      </c>
      <c r="R56" s="24"/>
    </row>
    <row r="57" spans="2:18" ht="12.75">
      <c r="B57" s="41" t="s">
        <v>60</v>
      </c>
      <c r="C57" s="1">
        <f>SUM(C3:C52)</f>
        <v>1619.9989999999993</v>
      </c>
      <c r="E57" s="41"/>
      <c r="H57" s="41"/>
      <c r="K57" s="41"/>
      <c r="N57" s="41"/>
      <c r="R57" s="24"/>
    </row>
    <row r="58" spans="16:18" ht="12.75">
      <c r="P58" s="151" t="s">
        <v>8</v>
      </c>
      <c r="Q58" s="151"/>
      <c r="R58" s="56">
        <f>SUM(R3:R52)</f>
        <v>2230.000200000001</v>
      </c>
    </row>
    <row r="59" spans="4:15" ht="12.75" customHeight="1">
      <c r="D59" s="155" t="s">
        <v>100</v>
      </c>
      <c r="E59" s="144"/>
      <c r="F59" s="145"/>
      <c r="G59" s="155" t="s">
        <v>110</v>
      </c>
      <c r="H59" s="144"/>
      <c r="I59" s="145"/>
      <c r="J59" s="155" t="s">
        <v>111</v>
      </c>
      <c r="K59" s="144"/>
      <c r="L59" s="145"/>
      <c r="M59" s="155" t="s">
        <v>119</v>
      </c>
      <c r="N59" s="144"/>
      <c r="O59" s="145"/>
    </row>
    <row r="60" spans="4:15" ht="12.75">
      <c r="D60" s="146"/>
      <c r="E60" s="147"/>
      <c r="F60" s="148"/>
      <c r="G60" s="146"/>
      <c r="H60" s="147"/>
      <c r="I60" s="148"/>
      <c r="J60" s="146"/>
      <c r="K60" s="147"/>
      <c r="L60" s="148"/>
      <c r="M60" s="146"/>
      <c r="N60" s="147"/>
      <c r="O60" s="148"/>
    </row>
    <row r="61" spans="4:15" ht="12.75">
      <c r="D61" s="146"/>
      <c r="E61" s="147"/>
      <c r="F61" s="148"/>
      <c r="G61" s="146"/>
      <c r="H61" s="147"/>
      <c r="I61" s="148"/>
      <c r="J61" s="146"/>
      <c r="K61" s="147"/>
      <c r="L61" s="148"/>
      <c r="M61" s="146"/>
      <c r="N61" s="147"/>
      <c r="O61" s="148"/>
    </row>
    <row r="62" spans="4:15" ht="12.75">
      <c r="D62" s="146"/>
      <c r="E62" s="147"/>
      <c r="F62" s="148"/>
      <c r="G62" s="146"/>
      <c r="H62" s="147"/>
      <c r="I62" s="148"/>
      <c r="J62" s="146"/>
      <c r="K62" s="147"/>
      <c r="L62" s="148"/>
      <c r="M62" s="146"/>
      <c r="N62" s="147"/>
      <c r="O62" s="148"/>
    </row>
    <row r="63" spans="4:15" ht="12.75">
      <c r="D63" s="146"/>
      <c r="E63" s="147"/>
      <c r="F63" s="148"/>
      <c r="G63" s="146"/>
      <c r="H63" s="147"/>
      <c r="I63" s="148"/>
      <c r="J63" s="146"/>
      <c r="K63" s="147"/>
      <c r="L63" s="148"/>
      <c r="M63" s="146"/>
      <c r="N63" s="147"/>
      <c r="O63" s="148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f>150-10</f>
        <v>140</v>
      </c>
      <c r="F65" s="51"/>
      <c r="G65" s="52" t="s">
        <v>19</v>
      </c>
      <c r="H65" s="50">
        <f>150-20-H81</f>
        <v>120</v>
      </c>
      <c r="I65" s="51"/>
      <c r="J65" s="52" t="s">
        <v>19</v>
      </c>
      <c r="K65" s="50">
        <f>150-0-K81</f>
        <v>120</v>
      </c>
      <c r="L65" s="51"/>
      <c r="M65" s="52" t="s">
        <v>19</v>
      </c>
      <c r="N65" s="50">
        <f>250-0-N81-N88</f>
        <v>230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9"/>
      <c r="E71" s="150"/>
      <c r="F71" s="150"/>
      <c r="G71" s="149" t="s">
        <v>73</v>
      </c>
      <c r="H71" s="150"/>
      <c r="I71" s="150"/>
      <c r="J71" s="149" t="s">
        <v>115</v>
      </c>
      <c r="K71" s="150"/>
      <c r="L71" s="150"/>
      <c r="M71" s="149"/>
      <c r="N71" s="150"/>
      <c r="O71" s="150"/>
    </row>
    <row r="72" spans="4:15" ht="12.75"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</row>
    <row r="73" spans="4:15" ht="12.75"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</row>
    <row r="74" spans="4:15" ht="12.75">
      <c r="D74" s="149" t="s">
        <v>99</v>
      </c>
      <c r="E74" s="150"/>
      <c r="F74" s="150"/>
      <c r="G74" s="149" t="s">
        <v>105</v>
      </c>
      <c r="H74" s="150"/>
      <c r="I74" s="150"/>
      <c r="J74" s="149" t="s">
        <v>112</v>
      </c>
      <c r="K74" s="150"/>
      <c r="L74" s="150"/>
      <c r="M74" s="149"/>
      <c r="N74" s="150"/>
      <c r="O74" s="150"/>
    </row>
    <row r="75" spans="4:15" ht="12.75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</row>
    <row r="76" spans="4:15" ht="21.75" customHeight="1"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</row>
    <row r="77" spans="7:14" ht="12.75">
      <c r="G77" s="153" t="s">
        <v>81</v>
      </c>
      <c r="H77" s="154"/>
      <c r="J77" s="153" t="s">
        <v>81</v>
      </c>
      <c r="K77" s="154"/>
      <c r="M77" s="153" t="s">
        <v>81</v>
      </c>
      <c r="N77" s="154"/>
    </row>
    <row r="78" spans="7:14" ht="12.75" customHeight="1">
      <c r="G78" s="37" t="s">
        <v>106</v>
      </c>
      <c r="H78" s="1">
        <v>10</v>
      </c>
      <c r="J78" s="37" t="s">
        <v>98</v>
      </c>
      <c r="K78" s="1">
        <v>10</v>
      </c>
      <c r="M78" s="37" t="s">
        <v>98</v>
      </c>
      <c r="N78" s="1">
        <v>10</v>
      </c>
    </row>
    <row r="79" spans="4:13" ht="12.75" customHeight="1">
      <c r="D79" s="149"/>
      <c r="E79" s="150"/>
      <c r="F79" s="150"/>
      <c r="G79" s="107"/>
      <c r="J79" s="107" t="s">
        <v>113</v>
      </c>
      <c r="K79" s="1">
        <v>10</v>
      </c>
      <c r="M79" s="107"/>
    </row>
    <row r="80" spans="4:13" ht="12.75">
      <c r="D80" s="150"/>
      <c r="E80" s="150"/>
      <c r="F80" s="150"/>
      <c r="G80" s="107"/>
      <c r="J80" s="107" t="s">
        <v>114</v>
      </c>
      <c r="K80" s="1">
        <v>10</v>
      </c>
      <c r="M80" s="107"/>
    </row>
    <row r="81" spans="4:14" ht="12.75">
      <c r="D81" s="150"/>
      <c r="E81" s="150"/>
      <c r="F81" s="150"/>
      <c r="H81" s="1">
        <f>SUM(H78:H80)</f>
        <v>10</v>
      </c>
      <c r="K81" s="1">
        <f>SUM(K78:K80)</f>
        <v>30</v>
      </c>
      <c r="N81" s="1">
        <f>SUM(N78:N80)</f>
        <v>10</v>
      </c>
    </row>
    <row r="82" spans="4:6" ht="12.75">
      <c r="D82" s="58"/>
      <c r="E82" s="58"/>
      <c r="F82" s="58"/>
    </row>
    <row r="84" spans="4:14" ht="12.75" customHeight="1">
      <c r="D84" s="149"/>
      <c r="E84" s="149"/>
      <c r="F84" s="149"/>
      <c r="G84" s="153" t="s">
        <v>82</v>
      </c>
      <c r="H84" s="154"/>
      <c r="J84" s="153" t="s">
        <v>82</v>
      </c>
      <c r="K84" s="154"/>
      <c r="M84" s="153" t="s">
        <v>82</v>
      </c>
      <c r="N84" s="154"/>
    </row>
    <row r="85" spans="4:14" ht="12.75">
      <c r="D85" s="149"/>
      <c r="E85" s="149"/>
      <c r="F85" s="149"/>
      <c r="G85" s="37"/>
      <c r="J85" s="37"/>
      <c r="M85" s="37" t="s">
        <v>122</v>
      </c>
      <c r="N85" s="1">
        <v>10</v>
      </c>
    </row>
    <row r="86" spans="4:6" ht="12.75">
      <c r="D86" s="149"/>
      <c r="E86" s="149"/>
      <c r="F86" s="149"/>
    </row>
    <row r="87" spans="4:6" ht="12.75">
      <c r="D87" s="149"/>
      <c r="E87" s="149"/>
      <c r="F87" s="149"/>
    </row>
    <row r="88" spans="4:14" ht="12.75">
      <c r="D88" s="149"/>
      <c r="E88" s="149"/>
      <c r="F88" s="149"/>
      <c r="N88" s="1">
        <f>SUM(N85:N87)</f>
        <v>10</v>
      </c>
    </row>
    <row r="89" spans="4:6" ht="12.75">
      <c r="D89" s="149"/>
      <c r="E89" s="149"/>
      <c r="F89" s="149"/>
    </row>
    <row r="91" spans="7:15" ht="12.75" customHeight="1">
      <c r="G91" s="152" t="s">
        <v>107</v>
      </c>
      <c r="H91" s="152"/>
      <c r="I91" s="152"/>
      <c r="J91" s="152" t="s">
        <v>107</v>
      </c>
      <c r="K91" s="152"/>
      <c r="L91" s="152"/>
      <c r="M91" s="152" t="s">
        <v>107</v>
      </c>
      <c r="N91" s="152"/>
      <c r="O91" s="152"/>
    </row>
    <row r="92" spans="7:15" ht="12.75">
      <c r="G92" s="152"/>
      <c r="H92" s="152"/>
      <c r="I92" s="152"/>
      <c r="J92" s="152"/>
      <c r="K92" s="152"/>
      <c r="L92" s="152"/>
      <c r="M92" s="152"/>
      <c r="N92" s="152"/>
      <c r="O92" s="152"/>
    </row>
    <row r="93" spans="7:15" ht="12.75">
      <c r="G93" s="152"/>
      <c r="H93" s="152"/>
      <c r="I93" s="152"/>
      <c r="J93" s="152"/>
      <c r="K93" s="152"/>
      <c r="L93" s="152"/>
      <c r="M93" s="152"/>
      <c r="N93" s="152"/>
      <c r="O93" s="152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15" ht="12.75">
      <c r="G96" s="59"/>
      <c r="H96" s="59"/>
      <c r="I96" s="59"/>
      <c r="M96" s="156" t="s">
        <v>120</v>
      </c>
      <c r="N96" s="154"/>
      <c r="O96" s="154"/>
    </row>
    <row r="97" spans="13:15" ht="12.75">
      <c r="M97" s="154"/>
      <c r="N97" s="154"/>
      <c r="O97" s="154"/>
    </row>
    <row r="98" spans="13:15" ht="12.75">
      <c r="M98" s="156" t="s">
        <v>121</v>
      </c>
      <c r="N98" s="154"/>
      <c r="O98" s="154"/>
    </row>
    <row r="99" spans="13:15" ht="12.75">
      <c r="M99" s="154"/>
      <c r="N99" s="154"/>
      <c r="O99" s="154"/>
    </row>
  </sheetData>
  <sheetProtection/>
  <mergeCells count="26">
    <mergeCell ref="M98:O99"/>
    <mergeCell ref="G91:I93"/>
    <mergeCell ref="J91:L93"/>
    <mergeCell ref="M74:O76"/>
    <mergeCell ref="J74:L76"/>
    <mergeCell ref="G74:I76"/>
    <mergeCell ref="J77:K77"/>
    <mergeCell ref="J84:K84"/>
    <mergeCell ref="M91:O93"/>
    <mergeCell ref="M96:O97"/>
    <mergeCell ref="P58:Q58"/>
    <mergeCell ref="J59:L63"/>
    <mergeCell ref="J71:L73"/>
    <mergeCell ref="M59:O63"/>
    <mergeCell ref="M71:O73"/>
    <mergeCell ref="D59:F63"/>
    <mergeCell ref="D71:F73"/>
    <mergeCell ref="G59:I63"/>
    <mergeCell ref="G71:I73"/>
    <mergeCell ref="D74:F76"/>
    <mergeCell ref="D79:F81"/>
    <mergeCell ref="D84:F89"/>
    <mergeCell ref="M77:N77"/>
    <mergeCell ref="M84:N84"/>
    <mergeCell ref="G77:H77"/>
    <mergeCell ref="G84:H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8.710937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57">
        <v>39732</v>
      </c>
      <c r="E1" s="158"/>
      <c r="F1" s="159"/>
      <c r="G1" s="18"/>
      <c r="H1" s="32">
        <v>39739</v>
      </c>
      <c r="I1" s="19"/>
      <c r="J1" s="44"/>
      <c r="K1" s="32">
        <v>39746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'2008年9月'!R3</f>
        <v>88.51639999999999</v>
      </c>
      <c r="D3" s="68">
        <v>1</v>
      </c>
      <c r="E3" s="69"/>
      <c r="F3" s="70">
        <f>-5.4167*D3</f>
        <v>-5.4167</v>
      </c>
      <c r="G3" s="68">
        <v>1</v>
      </c>
      <c r="H3" s="69"/>
      <c r="I3" s="70">
        <f>-7.8947*G3</f>
        <v>-7.8947</v>
      </c>
      <c r="J3" s="68">
        <v>1</v>
      </c>
      <c r="K3" s="69"/>
      <c r="L3" s="70">
        <f>-7.1429*J3</f>
        <v>-7.1429</v>
      </c>
      <c r="M3" s="68"/>
      <c r="N3" s="69"/>
      <c r="O3" s="70"/>
      <c r="P3" s="68"/>
      <c r="Q3" s="72"/>
      <c r="R3" s="101">
        <f aca="true" t="shared" si="0" ref="R3:R41">C3+E3+F3+H3+I3+K3+L3+N3+O3+Q3</f>
        <v>68.06209999999999</v>
      </c>
    </row>
    <row r="4" spans="1:18" ht="12.75">
      <c r="A4" s="2">
        <v>2</v>
      </c>
      <c r="B4" s="100" t="s">
        <v>3</v>
      </c>
      <c r="C4" s="67">
        <f>'2008年9月'!R4</f>
        <v>15.532400000000006</v>
      </c>
      <c r="D4" s="68">
        <v>1</v>
      </c>
      <c r="E4" s="69"/>
      <c r="F4" s="70">
        <f aca="true" t="shared" si="1" ref="F4:F43">-5.4167*D4</f>
        <v>-5.4167</v>
      </c>
      <c r="G4" s="68">
        <v>1</v>
      </c>
      <c r="H4" s="69">
        <v>100</v>
      </c>
      <c r="I4" s="70">
        <f aca="true" t="shared" si="2" ref="I4:I47">-7.8947*G4</f>
        <v>-7.8947</v>
      </c>
      <c r="J4" s="68"/>
      <c r="K4" s="69"/>
      <c r="L4" s="70">
        <f aca="true" t="shared" si="3" ref="L4:L47">-7.1429*J4</f>
        <v>0</v>
      </c>
      <c r="M4" s="68"/>
      <c r="N4" s="69"/>
      <c r="O4" s="70"/>
      <c r="P4" s="73"/>
      <c r="Q4" s="72"/>
      <c r="R4" s="101">
        <f t="shared" si="0"/>
        <v>102.221</v>
      </c>
    </row>
    <row r="5" spans="1:18" ht="12.75">
      <c r="A5" s="2">
        <v>3</v>
      </c>
      <c r="B5" s="102" t="s">
        <v>13</v>
      </c>
      <c r="C5" s="67">
        <f>'2008年9月'!R5</f>
        <v>30.279499999999995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-7.1429</v>
      </c>
      <c r="M5" s="68"/>
      <c r="N5" s="69"/>
      <c r="O5" s="70"/>
      <c r="P5" s="68"/>
      <c r="Q5" s="72"/>
      <c r="R5" s="101">
        <f t="shared" si="0"/>
        <v>23.136599999999994</v>
      </c>
    </row>
    <row r="6" spans="1:20" ht="12.75">
      <c r="A6" s="2">
        <v>4</v>
      </c>
      <c r="B6" s="103" t="s">
        <v>20</v>
      </c>
      <c r="C6" s="74">
        <f>'2008年9月'!R6</f>
        <v>40.4054</v>
      </c>
      <c r="D6" s="80">
        <v>1</v>
      </c>
      <c r="E6" s="76"/>
      <c r="F6" s="77">
        <f t="shared" si="1"/>
        <v>-5.4167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-7.1429</v>
      </c>
      <c r="M6" s="75"/>
      <c r="N6" s="76"/>
      <c r="O6" s="77"/>
      <c r="P6" s="80"/>
      <c r="Q6" s="79"/>
      <c r="R6" s="40">
        <f t="shared" si="0"/>
        <v>27.8458</v>
      </c>
      <c r="T6" s="37"/>
    </row>
    <row r="7" spans="1:18" ht="12.75">
      <c r="A7" s="2">
        <v>5</v>
      </c>
      <c r="B7" s="103" t="s">
        <v>46</v>
      </c>
      <c r="C7" s="74">
        <f>'2008年9月'!R7</f>
        <v>50.111900000000006</v>
      </c>
      <c r="D7" s="75">
        <v>1</v>
      </c>
      <c r="E7" s="76"/>
      <c r="F7" s="77">
        <f t="shared" si="1"/>
        <v>-5.4167</v>
      </c>
      <c r="G7" s="75">
        <v>1</v>
      </c>
      <c r="H7" s="76"/>
      <c r="I7" s="77">
        <f t="shared" si="2"/>
        <v>-7.8947</v>
      </c>
      <c r="J7" s="75"/>
      <c r="K7" s="76"/>
      <c r="L7" s="77">
        <f t="shared" si="3"/>
        <v>0</v>
      </c>
      <c r="M7" s="75"/>
      <c r="N7" s="76"/>
      <c r="O7" s="77"/>
      <c r="P7" s="75"/>
      <c r="Q7" s="79"/>
      <c r="R7" s="40">
        <f t="shared" si="0"/>
        <v>36.80050000000001</v>
      </c>
    </row>
    <row r="8" spans="1:18" ht="12.75">
      <c r="A8" s="2">
        <v>6</v>
      </c>
      <c r="B8" s="103" t="s">
        <v>47</v>
      </c>
      <c r="C8" s="74">
        <f>'2008年9月'!R8</f>
        <v>20.987400000000004</v>
      </c>
      <c r="D8" s="75">
        <v>1</v>
      </c>
      <c r="E8" s="76"/>
      <c r="F8" s="77">
        <f t="shared" si="1"/>
        <v>-5.4167</v>
      </c>
      <c r="G8" s="75"/>
      <c r="H8" s="76"/>
      <c r="I8" s="77">
        <f t="shared" si="2"/>
        <v>0</v>
      </c>
      <c r="J8" s="75">
        <v>1</v>
      </c>
      <c r="K8" s="76">
        <v>100</v>
      </c>
      <c r="L8" s="77">
        <f t="shared" si="3"/>
        <v>-7.1429</v>
      </c>
      <c r="M8" s="75"/>
      <c r="N8" s="76"/>
      <c r="O8" s="77"/>
      <c r="P8" s="80"/>
      <c r="Q8" s="79"/>
      <c r="R8" s="39">
        <f t="shared" si="0"/>
        <v>108.4278</v>
      </c>
    </row>
    <row r="9" spans="1:18" ht="12.75">
      <c r="A9" s="2">
        <v>7</v>
      </c>
      <c r="B9" s="106" t="s">
        <v>126</v>
      </c>
      <c r="C9" s="88">
        <f>'2008年9月'!R9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94</v>
      </c>
      <c r="C10" s="88">
        <f>'2008年9月'!R10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89"/>
      <c r="N10" s="90"/>
      <c r="O10" s="91"/>
      <c r="P10" s="94"/>
      <c r="Q10" s="93"/>
      <c r="R10" s="39">
        <f t="shared" si="0"/>
        <v>50.14110000000001</v>
      </c>
    </row>
    <row r="11" spans="1:18" ht="12.75">
      <c r="A11" s="2">
        <v>9</v>
      </c>
      <c r="B11" s="106" t="s">
        <v>95</v>
      </c>
      <c r="C11" s="88">
        <f>'2008年9月'!R11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27</v>
      </c>
      <c r="C12" s="81">
        <f>'2008年9月'!R12</f>
        <v>20.965600000000006</v>
      </c>
      <c r="D12" s="82">
        <v>1</v>
      </c>
      <c r="E12" s="83"/>
      <c r="F12" s="84">
        <f t="shared" si="1"/>
        <v>-5.4167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/>
      <c r="P12" s="82"/>
      <c r="Q12" s="87"/>
      <c r="R12" s="39">
        <f t="shared" si="0"/>
        <v>15.548900000000007</v>
      </c>
    </row>
    <row r="13" spans="1:18" ht="12.75">
      <c r="A13" s="2">
        <v>11</v>
      </c>
      <c r="B13" s="104" t="s">
        <v>127</v>
      </c>
      <c r="C13" s="81">
        <f>'2008年9月'!R13</f>
        <v>41.41510000000001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86"/>
      <c r="Q13" s="87"/>
      <c r="R13" s="40">
        <f t="shared" si="0"/>
        <v>41.41510000000001</v>
      </c>
    </row>
    <row r="14" spans="1:18" ht="12.75">
      <c r="A14" s="2">
        <v>12</v>
      </c>
      <c r="B14" s="104" t="s">
        <v>128</v>
      </c>
      <c r="C14" s="81">
        <f>'2008年9月'!R14</f>
        <v>44.65440000000001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82"/>
      <c r="Q14" s="87"/>
      <c r="R14" s="40">
        <f t="shared" si="0"/>
        <v>44.65440000000001</v>
      </c>
    </row>
    <row r="15" spans="1:18" ht="12.75">
      <c r="A15" s="2">
        <v>13</v>
      </c>
      <c r="B15" s="105" t="s">
        <v>30</v>
      </c>
      <c r="C15" s="60">
        <f>'2008年9月'!R15</f>
        <v>53.80800000000001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88</v>
      </c>
      <c r="C16" s="60">
        <f>'2008年9月'!R16</f>
        <v>9.7728</v>
      </c>
      <c r="D16" s="61">
        <v>1</v>
      </c>
      <c r="E16" s="62"/>
      <c r="F16" s="63">
        <f t="shared" si="1"/>
        <v>-5.4167</v>
      </c>
      <c r="G16" s="61">
        <v>1</v>
      </c>
      <c r="H16" s="62">
        <v>100</v>
      </c>
      <c r="I16" s="63">
        <f t="shared" si="2"/>
        <v>-7.8947</v>
      </c>
      <c r="J16" s="61">
        <v>1</v>
      </c>
      <c r="K16" s="62"/>
      <c r="L16" s="63">
        <f t="shared" si="3"/>
        <v>-7.1429</v>
      </c>
      <c r="M16" s="61"/>
      <c r="N16" s="62"/>
      <c r="O16" s="63"/>
      <c r="P16" s="61"/>
      <c r="Q16" s="65"/>
      <c r="R16" s="39">
        <f t="shared" si="0"/>
        <v>89.3185</v>
      </c>
    </row>
    <row r="17" spans="1:18" ht="12.75">
      <c r="A17" s="2">
        <v>15</v>
      </c>
      <c r="B17" s="105" t="s">
        <v>129</v>
      </c>
      <c r="C17" s="60">
        <f>'2008年9月'!R17</f>
        <v>26.13610000000001</v>
      </c>
      <c r="D17" s="61">
        <v>1</v>
      </c>
      <c r="E17" s="62"/>
      <c r="F17" s="63">
        <f t="shared" si="1"/>
        <v>-5.4167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66"/>
      <c r="Q17" s="65"/>
      <c r="R17" s="39">
        <f t="shared" si="0"/>
        <v>20.71940000000001</v>
      </c>
    </row>
    <row r="18" spans="1:18" ht="12.75">
      <c r="A18" s="2">
        <v>16</v>
      </c>
      <c r="B18" s="102" t="s">
        <v>130</v>
      </c>
      <c r="C18" s="67">
        <f>'2008年9月'!R18</f>
        <v>39.567800000000005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-7.8947</v>
      </c>
      <c r="J18" s="68"/>
      <c r="K18" s="69"/>
      <c r="L18" s="70">
        <f>-7.1429*J18</f>
        <v>0</v>
      </c>
      <c r="M18" s="68"/>
      <c r="N18" s="69"/>
      <c r="O18" s="70"/>
      <c r="P18" s="68"/>
      <c r="Q18" s="72"/>
      <c r="R18" s="39">
        <f t="shared" si="0"/>
        <v>31.673100000000005</v>
      </c>
    </row>
    <row r="19" spans="1:20" ht="12.75">
      <c r="A19" s="2">
        <v>17</v>
      </c>
      <c r="B19" s="102" t="s">
        <v>131</v>
      </c>
      <c r="C19" s="67">
        <f>'2008年9月'!R19</f>
        <v>56.9179</v>
      </c>
      <c r="D19" s="68">
        <v>2</v>
      </c>
      <c r="E19" s="69"/>
      <c r="F19" s="70">
        <f t="shared" si="1"/>
        <v>-10.8334</v>
      </c>
      <c r="G19" s="68"/>
      <c r="H19" s="69"/>
      <c r="I19" s="70">
        <f t="shared" si="2"/>
        <v>0</v>
      </c>
      <c r="J19" s="68">
        <v>3</v>
      </c>
      <c r="K19" s="69"/>
      <c r="L19" s="70">
        <f t="shared" si="3"/>
        <v>-21.4287</v>
      </c>
      <c r="M19" s="68"/>
      <c r="N19" s="69"/>
      <c r="O19" s="70"/>
      <c r="P19" s="73"/>
      <c r="Q19" s="72"/>
      <c r="R19" s="39">
        <f t="shared" si="0"/>
        <v>24.655800000000006</v>
      </c>
      <c r="T19" s="37"/>
    </row>
    <row r="20" spans="1:18" ht="12.75">
      <c r="A20" s="2">
        <v>18</v>
      </c>
      <c r="B20" s="102" t="s">
        <v>132</v>
      </c>
      <c r="C20" s="67">
        <f>'2008年9月'!R20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'2008年9月'!R21</f>
        <v>39.9406</v>
      </c>
      <c r="D21" s="75">
        <v>1</v>
      </c>
      <c r="E21" s="76"/>
      <c r="F21" s="77">
        <f t="shared" si="1"/>
        <v>-5.4167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96"/>
      <c r="O21" s="77"/>
      <c r="P21" s="80"/>
      <c r="Q21" s="79"/>
      <c r="R21" s="39">
        <f t="shared" si="0"/>
        <v>34.523900000000005</v>
      </c>
    </row>
    <row r="22" spans="1:18" ht="12.75">
      <c r="A22" s="2">
        <v>20</v>
      </c>
      <c r="B22" s="103" t="s">
        <v>152</v>
      </c>
      <c r="C22" s="74">
        <f>'2008年9月'!R22</f>
        <v>28.200400000000005</v>
      </c>
      <c r="D22" s="75">
        <v>1</v>
      </c>
      <c r="E22" s="76"/>
      <c r="F22" s="77">
        <f t="shared" si="1"/>
        <v>-5.4167</v>
      </c>
      <c r="G22" s="75">
        <v>1</v>
      </c>
      <c r="H22" s="76"/>
      <c r="I22" s="77">
        <f t="shared" si="2"/>
        <v>-7.8947</v>
      </c>
      <c r="J22" s="75">
        <v>1</v>
      </c>
      <c r="K22" s="76"/>
      <c r="L22" s="77">
        <f t="shared" si="3"/>
        <v>-7.1429</v>
      </c>
      <c r="M22" s="75"/>
      <c r="N22" s="96"/>
      <c r="O22" s="77"/>
      <c r="P22" s="75"/>
      <c r="Q22" s="79"/>
      <c r="R22" s="39">
        <f t="shared" si="0"/>
        <v>7.746100000000006</v>
      </c>
    </row>
    <row r="23" spans="1:18" ht="12.75">
      <c r="A23" s="2">
        <v>21</v>
      </c>
      <c r="B23" s="103" t="s">
        <v>133</v>
      </c>
      <c r="C23" s="74">
        <f>'2008年9月'!R23</f>
        <v>76.955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96"/>
      <c r="O23" s="77"/>
      <c r="P23" s="80"/>
      <c r="Q23" s="79"/>
      <c r="R23" s="39">
        <f t="shared" si="0"/>
        <v>76.955</v>
      </c>
    </row>
    <row r="24" spans="1:18" ht="12.75">
      <c r="A24" s="2">
        <v>22</v>
      </c>
      <c r="B24" s="106" t="s">
        <v>64</v>
      </c>
      <c r="C24" s="88">
        <f>'2008年9月'!R24</f>
        <v>58.029900000000005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7"/>
      <c r="O24" s="91"/>
      <c r="P24" s="89"/>
      <c r="Q24" s="93"/>
      <c r="R24" s="39">
        <f t="shared" si="0"/>
        <v>58.029900000000005</v>
      </c>
    </row>
    <row r="25" spans="1:18" ht="12.75">
      <c r="A25" s="2">
        <v>23</v>
      </c>
      <c r="B25" s="106" t="s">
        <v>45</v>
      </c>
      <c r="C25" s="88">
        <f>'2008年9月'!R25</f>
        <v>48.654900000000005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-7.8947</v>
      </c>
      <c r="J25" s="89">
        <v>1</v>
      </c>
      <c r="K25" s="90"/>
      <c r="L25" s="91">
        <f t="shared" si="3"/>
        <v>-7.1429</v>
      </c>
      <c r="M25" s="89"/>
      <c r="N25" s="97"/>
      <c r="O25" s="91"/>
      <c r="P25" s="89"/>
      <c r="Q25" s="93"/>
      <c r="R25" s="39">
        <f t="shared" si="0"/>
        <v>33.61730000000001</v>
      </c>
    </row>
    <row r="26" spans="1:18" ht="12.75">
      <c r="A26" s="2">
        <v>24</v>
      </c>
      <c r="B26" s="106" t="s">
        <v>77</v>
      </c>
      <c r="C26" s="88">
        <f>'2008年9月'!R26</f>
        <v>18.441400000000005</v>
      </c>
      <c r="D26" s="89">
        <v>1</v>
      </c>
      <c r="E26" s="90">
        <v>100</v>
      </c>
      <c r="F26" s="91">
        <f t="shared" si="1"/>
        <v>-5.4167</v>
      </c>
      <c r="G26" s="89">
        <v>1</v>
      </c>
      <c r="H26" s="90"/>
      <c r="I26" s="91">
        <f t="shared" si="2"/>
        <v>-7.8947</v>
      </c>
      <c r="J26" s="89">
        <v>1</v>
      </c>
      <c r="K26" s="90"/>
      <c r="L26" s="91">
        <f t="shared" si="3"/>
        <v>-7.1429</v>
      </c>
      <c r="M26" s="89"/>
      <c r="N26" s="90"/>
      <c r="O26" s="91"/>
      <c r="P26" s="94"/>
      <c r="Q26" s="93"/>
      <c r="R26" s="39">
        <f t="shared" si="0"/>
        <v>97.9871</v>
      </c>
    </row>
    <row r="27" spans="1:18" ht="12.75">
      <c r="A27" s="2">
        <v>25</v>
      </c>
      <c r="B27" s="104" t="s">
        <v>134</v>
      </c>
      <c r="C27" s="81">
        <f>'2008年9月'!R27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/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135</v>
      </c>
      <c r="C28" s="81">
        <f>'2008年9月'!R28</f>
        <v>49.545500000000004</v>
      </c>
      <c r="D28" s="86">
        <v>1</v>
      </c>
      <c r="E28" s="98"/>
      <c r="F28" s="84">
        <f t="shared" si="1"/>
        <v>-5.4167</v>
      </c>
      <c r="G28" s="86">
        <v>1</v>
      </c>
      <c r="H28" s="98"/>
      <c r="I28" s="84">
        <f t="shared" si="2"/>
        <v>-7.8947</v>
      </c>
      <c r="J28" s="86">
        <v>1</v>
      </c>
      <c r="K28" s="98"/>
      <c r="L28" s="84">
        <f t="shared" si="3"/>
        <v>-7.1429</v>
      </c>
      <c r="M28" s="82"/>
      <c r="N28" s="98"/>
      <c r="O28" s="84"/>
      <c r="P28" s="86"/>
      <c r="Q28" s="87"/>
      <c r="R28" s="39">
        <f t="shared" si="0"/>
        <v>29.091200000000004</v>
      </c>
    </row>
    <row r="29" spans="1:18" ht="12.75">
      <c r="A29" s="2">
        <v>27</v>
      </c>
      <c r="B29" s="104" t="s">
        <v>86</v>
      </c>
      <c r="C29" s="81">
        <f>'2008年9月'!R29</f>
        <v>76.3463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98"/>
      <c r="O29" s="84"/>
      <c r="P29" s="82"/>
      <c r="Q29" s="87"/>
      <c r="R29" s="39">
        <f t="shared" si="0"/>
        <v>76.3463</v>
      </c>
    </row>
    <row r="30" spans="1:19" ht="12.75">
      <c r="A30" s="2">
        <v>28</v>
      </c>
      <c r="B30" s="105" t="s">
        <v>136</v>
      </c>
      <c r="C30" s="60">
        <f>'2008年9月'!R30</f>
        <v>65.0424</v>
      </c>
      <c r="D30" s="66">
        <v>1</v>
      </c>
      <c r="E30" s="99"/>
      <c r="F30" s="63">
        <f t="shared" si="1"/>
        <v>-5.4167</v>
      </c>
      <c r="G30" s="66">
        <v>1</v>
      </c>
      <c r="H30" s="99"/>
      <c r="I30" s="63">
        <f t="shared" si="2"/>
        <v>-7.8947</v>
      </c>
      <c r="J30" s="66"/>
      <c r="K30" s="99"/>
      <c r="L30" s="63">
        <f t="shared" si="3"/>
        <v>0</v>
      </c>
      <c r="M30" s="61"/>
      <c r="N30" s="99"/>
      <c r="O30" s="63"/>
      <c r="P30" s="66"/>
      <c r="Q30" s="65"/>
      <c r="R30" s="39">
        <f t="shared" si="0"/>
        <v>51.731</v>
      </c>
      <c r="S30" s="37"/>
    </row>
    <row r="31" spans="1:18" ht="12.75">
      <c r="A31" s="2">
        <v>29</v>
      </c>
      <c r="B31" s="105" t="s">
        <v>137</v>
      </c>
      <c r="C31" s="60">
        <f>'2008年9月'!R31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61"/>
      <c r="Q31" s="65"/>
      <c r="R31" s="39">
        <f t="shared" si="0"/>
        <v>68.4969</v>
      </c>
    </row>
    <row r="32" spans="1:18" ht="12.75">
      <c r="A32" s="2">
        <v>30</v>
      </c>
      <c r="B32" s="105" t="s">
        <v>138</v>
      </c>
      <c r="C32" s="60">
        <f>'2008年9月'!R32</f>
        <v>94.7826</v>
      </c>
      <c r="D32" s="66">
        <v>1</v>
      </c>
      <c r="E32" s="99"/>
      <c r="F32" s="63">
        <f t="shared" si="1"/>
        <v>-5.4167</v>
      </c>
      <c r="G32" s="66">
        <v>1</v>
      </c>
      <c r="H32" s="99"/>
      <c r="I32" s="63">
        <f t="shared" si="2"/>
        <v>-7.8947</v>
      </c>
      <c r="J32" s="66"/>
      <c r="K32" s="99"/>
      <c r="L32" s="63">
        <f t="shared" si="3"/>
        <v>0</v>
      </c>
      <c r="M32" s="61"/>
      <c r="N32" s="99"/>
      <c r="O32" s="63"/>
      <c r="P32" s="66"/>
      <c r="Q32" s="65"/>
      <c r="R32" s="39">
        <f t="shared" si="0"/>
        <v>81.4712</v>
      </c>
    </row>
    <row r="33" spans="1:18" ht="12.75">
      <c r="A33" s="2">
        <v>31</v>
      </c>
      <c r="B33" s="102" t="s">
        <v>139</v>
      </c>
      <c r="C33" s="67">
        <f>'2008年9月'!R33</f>
        <v>73.0424</v>
      </c>
      <c r="D33" s="68">
        <v>1</v>
      </c>
      <c r="E33" s="69"/>
      <c r="F33" s="70">
        <f t="shared" si="1"/>
        <v>-5.4167</v>
      </c>
      <c r="G33" s="68">
        <v>1</v>
      </c>
      <c r="H33" s="69"/>
      <c r="I33" s="70">
        <f t="shared" si="2"/>
        <v>-7.8947</v>
      </c>
      <c r="J33" s="68">
        <v>1</v>
      </c>
      <c r="K33" s="69"/>
      <c r="L33" s="70">
        <f>-7.1429*J33</f>
        <v>-7.1429</v>
      </c>
      <c r="M33" s="68"/>
      <c r="N33" s="69"/>
      <c r="O33" s="70"/>
      <c r="P33" s="68"/>
      <c r="Q33" s="72"/>
      <c r="R33" s="39">
        <f t="shared" si="0"/>
        <v>52.5881</v>
      </c>
    </row>
    <row r="34" spans="1:18" ht="12.75">
      <c r="A34" s="2">
        <v>32</v>
      </c>
      <c r="B34" s="102" t="s">
        <v>140</v>
      </c>
      <c r="C34" s="67">
        <f>'2008年9月'!R34</f>
        <v>63.0424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-7.8947</v>
      </c>
      <c r="J34" s="68">
        <v>1</v>
      </c>
      <c r="K34" s="69"/>
      <c r="L34" s="70">
        <f t="shared" si="3"/>
        <v>-7.1429</v>
      </c>
      <c r="M34" s="68"/>
      <c r="N34" s="69"/>
      <c r="O34" s="70"/>
      <c r="P34" s="73"/>
      <c r="Q34" s="72"/>
      <c r="R34" s="39">
        <f t="shared" si="0"/>
        <v>48.0048</v>
      </c>
    </row>
    <row r="35" spans="1:18" ht="12.75">
      <c r="A35" s="2">
        <v>33</v>
      </c>
      <c r="B35" s="102" t="s">
        <v>141</v>
      </c>
      <c r="C35" s="67">
        <f>'2008年9月'!R35</f>
        <v>83.4969</v>
      </c>
      <c r="D35" s="68">
        <v>1</v>
      </c>
      <c r="E35" s="69"/>
      <c r="F35" s="70">
        <f t="shared" si="1"/>
        <v>-5.4167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/>
      <c r="N35" s="69"/>
      <c r="O35" s="70"/>
      <c r="P35" s="68"/>
      <c r="Q35" s="72"/>
      <c r="R35" s="39">
        <f t="shared" si="0"/>
        <v>70.9373</v>
      </c>
    </row>
    <row r="36" spans="1:18" ht="12.75">
      <c r="A36" s="2">
        <v>34</v>
      </c>
      <c r="B36" s="103" t="s">
        <v>142</v>
      </c>
      <c r="C36" s="74">
        <f>'2008年9月'!R36</f>
        <v>80.0424</v>
      </c>
      <c r="D36" s="75">
        <v>1</v>
      </c>
      <c r="E36" s="76"/>
      <c r="F36" s="77">
        <f>-5.4167*D36-10</f>
        <v>-15.416699999999999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96"/>
      <c r="O36" s="77"/>
      <c r="P36" s="80"/>
      <c r="Q36" s="79"/>
      <c r="R36" s="39">
        <f t="shared" si="0"/>
        <v>64.6257</v>
      </c>
    </row>
    <row r="37" spans="1:19" ht="12.75">
      <c r="A37" s="2">
        <v>35</v>
      </c>
      <c r="B37" s="103" t="s">
        <v>143</v>
      </c>
      <c r="C37" s="74">
        <f>'2008年9月'!R37</f>
        <v>95.7143</v>
      </c>
      <c r="D37" s="75">
        <v>1</v>
      </c>
      <c r="E37" s="76"/>
      <c r="F37" s="77">
        <f t="shared" si="1"/>
        <v>-5.4167</v>
      </c>
      <c r="G37" s="75"/>
      <c r="H37" s="76"/>
      <c r="I37" s="77">
        <f t="shared" si="2"/>
        <v>0</v>
      </c>
      <c r="J37" s="75"/>
      <c r="K37" s="76"/>
      <c r="L37" s="77">
        <f t="shared" si="3"/>
        <v>0</v>
      </c>
      <c r="M37" s="75"/>
      <c r="N37" s="96"/>
      <c r="O37" s="77"/>
      <c r="P37" s="75"/>
      <c r="Q37" s="79"/>
      <c r="R37" s="39">
        <f t="shared" si="0"/>
        <v>90.29759999999999</v>
      </c>
      <c r="S37" s="37"/>
    </row>
    <row r="38" spans="1:18" ht="12.75">
      <c r="A38" s="2">
        <v>36</v>
      </c>
      <c r="B38" s="103" t="s">
        <v>144</v>
      </c>
      <c r="C38" s="74">
        <f>'2008年9月'!R38</f>
        <v>85.2598</v>
      </c>
      <c r="D38" s="75">
        <v>1</v>
      </c>
      <c r="E38" s="76"/>
      <c r="F38" s="77">
        <f t="shared" si="1"/>
        <v>-5.4167</v>
      </c>
      <c r="G38" s="75">
        <v>1</v>
      </c>
      <c r="H38" s="76"/>
      <c r="I38" s="77">
        <f t="shared" si="2"/>
        <v>-7.8947</v>
      </c>
      <c r="J38" s="75">
        <v>1</v>
      </c>
      <c r="K38" s="76"/>
      <c r="L38" s="77">
        <f t="shared" si="3"/>
        <v>-7.1429</v>
      </c>
      <c r="M38" s="75"/>
      <c r="N38" s="96"/>
      <c r="O38" s="77"/>
      <c r="P38" s="80"/>
      <c r="Q38" s="79"/>
      <c r="R38" s="39">
        <f t="shared" si="0"/>
        <v>64.8055</v>
      </c>
    </row>
    <row r="39" spans="1:18" ht="12.75">
      <c r="A39" s="2">
        <v>37</v>
      </c>
      <c r="B39" s="106" t="s">
        <v>145</v>
      </c>
      <c r="C39" s="88">
        <f>'2008年9月'!R39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7"/>
      <c r="O39" s="91"/>
      <c r="P39" s="89"/>
      <c r="Q39" s="93"/>
      <c r="R39" s="39">
        <f t="shared" si="0"/>
        <v>95.7143</v>
      </c>
    </row>
    <row r="40" spans="1:18" ht="12.75">
      <c r="A40" s="2">
        <v>38</v>
      </c>
      <c r="B40" s="106" t="s">
        <v>125</v>
      </c>
      <c r="C40" s="88">
        <f>'2008年9月'!R40</f>
        <v>89.5455</v>
      </c>
      <c r="D40" s="89">
        <v>1</v>
      </c>
      <c r="E40" s="90"/>
      <c r="F40" s="91">
        <f t="shared" si="1"/>
        <v>-5.4167</v>
      </c>
      <c r="G40" s="89">
        <v>1</v>
      </c>
      <c r="H40" s="90"/>
      <c r="I40" s="91">
        <f t="shared" si="2"/>
        <v>-7.8947</v>
      </c>
      <c r="J40" s="89">
        <v>1</v>
      </c>
      <c r="K40" s="90"/>
      <c r="L40" s="91">
        <f t="shared" si="3"/>
        <v>-7.1429</v>
      </c>
      <c r="M40" s="89"/>
      <c r="N40" s="97"/>
      <c r="O40" s="91"/>
      <c r="P40" s="89"/>
      <c r="Q40" s="93"/>
      <c r="R40" s="39">
        <f t="shared" si="0"/>
        <v>69.0912</v>
      </c>
    </row>
    <row r="41" spans="1:18" ht="12.75">
      <c r="A41" s="2">
        <v>39</v>
      </c>
      <c r="B41" s="106" t="s">
        <v>146</v>
      </c>
      <c r="C41" s="88">
        <f>'2008年9月'!R41</f>
        <v>89.5455</v>
      </c>
      <c r="D41" s="89">
        <v>1</v>
      </c>
      <c r="E41" s="90"/>
      <c r="F41" s="91">
        <f t="shared" si="1"/>
        <v>-5.4167</v>
      </c>
      <c r="G41" s="89">
        <v>1</v>
      </c>
      <c r="H41" s="90"/>
      <c r="I41" s="91">
        <f t="shared" si="2"/>
        <v>-7.8947</v>
      </c>
      <c r="J41" s="89">
        <v>1</v>
      </c>
      <c r="K41" s="90"/>
      <c r="L41" s="91">
        <f t="shared" si="3"/>
        <v>-7.1429</v>
      </c>
      <c r="M41" s="89"/>
      <c r="N41" s="97"/>
      <c r="O41" s="91"/>
      <c r="P41" s="89"/>
      <c r="Q41" s="93"/>
      <c r="R41" s="39">
        <f t="shared" si="0"/>
        <v>69.0912</v>
      </c>
    </row>
    <row r="42" spans="1:18" ht="12.75">
      <c r="A42" s="2">
        <v>40</v>
      </c>
      <c r="B42" s="104" t="s">
        <v>150</v>
      </c>
      <c r="C42" s="81">
        <f>'2008年9月'!R42</f>
        <v>0</v>
      </c>
      <c r="D42" s="82">
        <v>1</v>
      </c>
      <c r="E42" s="98">
        <v>100</v>
      </c>
      <c r="F42" s="84">
        <f t="shared" si="1"/>
        <v>-5.4167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82"/>
      <c r="Q42" s="87"/>
      <c r="R42" s="39">
        <f aca="true" t="shared" si="4" ref="R42:R47">C42+E42+F42+H42+I42+K42+L42+N42+O42+Q42</f>
        <v>94.5833</v>
      </c>
    </row>
    <row r="43" spans="1:18" ht="12.75">
      <c r="A43" s="2">
        <v>41</v>
      </c>
      <c r="B43" s="104" t="s">
        <v>151</v>
      </c>
      <c r="C43" s="81">
        <f>'2008年9月'!R43</f>
        <v>0</v>
      </c>
      <c r="D43" s="86">
        <v>0</v>
      </c>
      <c r="E43" s="98"/>
      <c r="F43" s="84">
        <f t="shared" si="1"/>
        <v>0</v>
      </c>
      <c r="G43" s="86">
        <v>0</v>
      </c>
      <c r="H43" s="98"/>
      <c r="I43" s="84">
        <f t="shared" si="2"/>
        <v>0</v>
      </c>
      <c r="J43" s="86">
        <v>0</v>
      </c>
      <c r="K43" s="98"/>
      <c r="L43" s="84">
        <f t="shared" si="3"/>
        <v>0</v>
      </c>
      <c r="M43" s="82"/>
      <c r="N43" s="98"/>
      <c r="O43" s="84"/>
      <c r="P43" s="86"/>
      <c r="Q43" s="87"/>
      <c r="R43" s="39">
        <f t="shared" si="4"/>
        <v>0</v>
      </c>
    </row>
    <row r="44" spans="1:18" ht="12.75">
      <c r="A44" s="2">
        <v>42</v>
      </c>
      <c r="B44" s="104" t="s">
        <v>156</v>
      </c>
      <c r="C44" s="81">
        <f>'2008年9月'!R44</f>
        <v>0</v>
      </c>
      <c r="D44" s="86"/>
      <c r="E44" s="98"/>
      <c r="F44" s="84"/>
      <c r="G44" s="86">
        <v>1</v>
      </c>
      <c r="H44" s="98">
        <v>100</v>
      </c>
      <c r="I44" s="84">
        <f t="shared" si="2"/>
        <v>-7.8947</v>
      </c>
      <c r="J44" s="86">
        <v>1</v>
      </c>
      <c r="K44" s="98"/>
      <c r="L44" s="84">
        <f t="shared" si="3"/>
        <v>-7.1429</v>
      </c>
      <c r="M44" s="82"/>
      <c r="N44" s="98"/>
      <c r="O44" s="84"/>
      <c r="P44" s="86"/>
      <c r="Q44" s="87"/>
      <c r="R44" s="39">
        <f t="shared" si="4"/>
        <v>84.9624</v>
      </c>
    </row>
    <row r="45" spans="1:18" ht="12.75">
      <c r="A45" s="2">
        <v>43</v>
      </c>
      <c r="B45" s="105" t="s">
        <v>157</v>
      </c>
      <c r="C45" s="60">
        <f>'2008年9月'!R45</f>
        <v>0</v>
      </c>
      <c r="D45" s="66"/>
      <c r="E45" s="99"/>
      <c r="F45" s="63"/>
      <c r="G45" s="66">
        <v>1</v>
      </c>
      <c r="H45" s="99">
        <v>100</v>
      </c>
      <c r="I45" s="63">
        <f t="shared" si="2"/>
        <v>-7.8947</v>
      </c>
      <c r="J45" s="66">
        <v>1</v>
      </c>
      <c r="K45" s="99"/>
      <c r="L45" s="63">
        <f t="shared" si="3"/>
        <v>-7.1429</v>
      </c>
      <c r="M45" s="61"/>
      <c r="N45" s="99"/>
      <c r="O45" s="63"/>
      <c r="P45" s="66"/>
      <c r="Q45" s="65"/>
      <c r="R45" s="39">
        <f t="shared" si="4"/>
        <v>84.9624</v>
      </c>
    </row>
    <row r="46" spans="1:18" ht="12.75">
      <c r="A46" s="2">
        <v>44</v>
      </c>
      <c r="B46" s="109">
        <v>9631</v>
      </c>
      <c r="C46" s="60">
        <f>'2008年9月'!R46</f>
        <v>0</v>
      </c>
      <c r="D46" s="61"/>
      <c r="E46" s="99"/>
      <c r="F46" s="63"/>
      <c r="G46" s="66">
        <v>1</v>
      </c>
      <c r="H46" s="99">
        <v>100</v>
      </c>
      <c r="I46" s="63">
        <f t="shared" si="2"/>
        <v>-7.8947</v>
      </c>
      <c r="J46" s="66"/>
      <c r="K46" s="99"/>
      <c r="L46" s="63">
        <f t="shared" si="3"/>
        <v>0</v>
      </c>
      <c r="M46" s="61"/>
      <c r="N46" s="99"/>
      <c r="O46" s="63"/>
      <c r="P46" s="61"/>
      <c r="Q46" s="65"/>
      <c r="R46" s="39">
        <f t="shared" si="4"/>
        <v>92.1053</v>
      </c>
    </row>
    <row r="47" spans="1:18" ht="12.75">
      <c r="A47" s="2">
        <v>45</v>
      </c>
      <c r="B47" s="105" t="s">
        <v>165</v>
      </c>
      <c r="C47" s="60">
        <f>'2008年9月'!R47</f>
        <v>0</v>
      </c>
      <c r="D47" s="66"/>
      <c r="E47" s="99"/>
      <c r="F47" s="63"/>
      <c r="G47" s="66"/>
      <c r="H47" s="99"/>
      <c r="I47" s="63">
        <f t="shared" si="2"/>
        <v>0</v>
      </c>
      <c r="J47" s="66">
        <v>1</v>
      </c>
      <c r="K47" s="99">
        <v>100</v>
      </c>
      <c r="L47" s="63">
        <f t="shared" si="3"/>
        <v>-7.1429</v>
      </c>
      <c r="M47" s="61"/>
      <c r="N47" s="99"/>
      <c r="O47" s="63"/>
      <c r="P47" s="66"/>
      <c r="Q47" s="65"/>
      <c r="R47" s="39">
        <f t="shared" si="4"/>
        <v>92.8571</v>
      </c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1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1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1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1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30"/>
      <c r="K53" s="6"/>
      <c r="L53" s="34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45</v>
      </c>
      <c r="D54" s="1">
        <f>SUM(D3:D52)</f>
        <v>24</v>
      </c>
      <c r="F54" s="1">
        <f>E65/D54</f>
        <v>5.416666666666667</v>
      </c>
      <c r="G54" s="1">
        <f>SUM(G3:G53)</f>
        <v>19</v>
      </c>
      <c r="I54" s="1">
        <f>H65/G54</f>
        <v>7.894736842105263</v>
      </c>
      <c r="J54" s="1">
        <f>SUM(J3:J53)</f>
        <v>21</v>
      </c>
      <c r="L54" s="1">
        <f>K65/J54</f>
        <v>7.142857142857143</v>
      </c>
      <c r="M54" s="1">
        <f>SUM(M3:M53)</f>
        <v>0</v>
      </c>
      <c r="O54" s="1" t="e">
        <f>N65/M54</f>
        <v>#DIV/0!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5:18" ht="12.75">
      <c r="E56" s="37" t="s">
        <v>118</v>
      </c>
      <c r="F56" s="1">
        <f>SUM(F3:F52)</f>
        <v>-140.00080000000003</v>
      </c>
      <c r="G56" s="37"/>
      <c r="H56" s="37" t="s">
        <v>118</v>
      </c>
      <c r="I56" s="1">
        <f>SUM(I3:I52)</f>
        <v>-149.9993</v>
      </c>
      <c r="J56" s="37"/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0</v>
      </c>
      <c r="R56" s="24"/>
    </row>
    <row r="57" spans="2:18" ht="12.75">
      <c r="B57" s="41" t="s">
        <v>60</v>
      </c>
      <c r="C57" s="1">
        <f>SUM(C3:C52)</f>
        <v>2230.000200000001</v>
      </c>
      <c r="E57" s="41"/>
      <c r="H57" s="41"/>
      <c r="K57" s="41"/>
      <c r="N57" s="41"/>
      <c r="R57" s="24"/>
    </row>
    <row r="58" spans="16:18" ht="12.75">
      <c r="P58" s="151" t="s">
        <v>8</v>
      </c>
      <c r="Q58" s="151"/>
      <c r="R58" s="56">
        <f>SUM(R3:R52)</f>
        <v>2689.9991999999997</v>
      </c>
    </row>
    <row r="59" spans="4:15" ht="12.75" customHeight="1">
      <c r="D59" s="155" t="s">
        <v>148</v>
      </c>
      <c r="E59" s="144"/>
      <c r="F59" s="145"/>
      <c r="G59" s="155" t="s">
        <v>153</v>
      </c>
      <c r="H59" s="144"/>
      <c r="I59" s="145"/>
      <c r="J59" s="155" t="s">
        <v>162</v>
      </c>
      <c r="K59" s="144"/>
      <c r="L59" s="145"/>
      <c r="M59" s="155"/>
      <c r="N59" s="144"/>
      <c r="O59" s="145"/>
    </row>
    <row r="60" spans="4:15" ht="12.75">
      <c r="D60" s="146"/>
      <c r="E60" s="147"/>
      <c r="F60" s="148"/>
      <c r="G60" s="146"/>
      <c r="H60" s="147"/>
      <c r="I60" s="148"/>
      <c r="J60" s="146"/>
      <c r="K60" s="147"/>
      <c r="L60" s="148"/>
      <c r="M60" s="146"/>
      <c r="N60" s="147"/>
      <c r="O60" s="148"/>
    </row>
    <row r="61" spans="4:15" ht="12.75">
      <c r="D61" s="146"/>
      <c r="E61" s="147"/>
      <c r="F61" s="148"/>
      <c r="G61" s="146"/>
      <c r="H61" s="147"/>
      <c r="I61" s="148"/>
      <c r="J61" s="146"/>
      <c r="K61" s="147"/>
      <c r="L61" s="148"/>
      <c r="M61" s="146"/>
      <c r="N61" s="147"/>
      <c r="O61" s="148"/>
    </row>
    <row r="62" spans="4:15" ht="12.75">
      <c r="D62" s="146"/>
      <c r="E62" s="147"/>
      <c r="F62" s="148"/>
      <c r="G62" s="146"/>
      <c r="H62" s="147"/>
      <c r="I62" s="148"/>
      <c r="J62" s="146"/>
      <c r="K62" s="147"/>
      <c r="L62" s="148"/>
      <c r="M62" s="146"/>
      <c r="N62" s="147"/>
      <c r="O62" s="148"/>
    </row>
    <row r="63" spans="4:15" ht="12.75">
      <c r="D63" s="146"/>
      <c r="E63" s="147"/>
      <c r="F63" s="148"/>
      <c r="G63" s="146"/>
      <c r="H63" s="147"/>
      <c r="I63" s="148"/>
      <c r="J63" s="146"/>
      <c r="K63" s="147"/>
      <c r="L63" s="148"/>
      <c r="M63" s="146"/>
      <c r="N63" s="147"/>
      <c r="O63" s="148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147</v>
      </c>
      <c r="E65" s="50">
        <f>150-10-E81</f>
        <v>130</v>
      </c>
      <c r="F65" s="51"/>
      <c r="G65" s="52" t="s">
        <v>147</v>
      </c>
      <c r="H65" s="50">
        <f>150-0-H81</f>
        <v>150</v>
      </c>
      <c r="I65" s="51"/>
      <c r="J65" s="52" t="s">
        <v>147</v>
      </c>
      <c r="K65" s="50">
        <f>150-0-K81</f>
        <v>150</v>
      </c>
      <c r="L65" s="51"/>
      <c r="M65" s="52"/>
      <c r="N65" s="50"/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9" t="s">
        <v>85</v>
      </c>
      <c r="E71" s="150"/>
      <c r="F71" s="150"/>
      <c r="G71" s="149"/>
      <c r="H71" s="150"/>
      <c r="I71" s="150"/>
      <c r="J71" s="149" t="s">
        <v>163</v>
      </c>
      <c r="K71" s="150"/>
      <c r="L71" s="150"/>
      <c r="M71" s="149"/>
      <c r="N71" s="150"/>
      <c r="O71" s="150"/>
    </row>
    <row r="72" spans="4:15" ht="12.75"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</row>
    <row r="73" spans="4:15" ht="12.75"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</row>
    <row r="74" spans="4:15" ht="12.75">
      <c r="D74" s="149" t="s">
        <v>149</v>
      </c>
      <c r="E74" s="150"/>
      <c r="F74" s="150"/>
      <c r="G74" s="149"/>
      <c r="H74" s="150"/>
      <c r="I74" s="150"/>
      <c r="J74" s="149"/>
      <c r="K74" s="150"/>
      <c r="L74" s="150"/>
      <c r="M74" s="149"/>
      <c r="N74" s="150"/>
      <c r="O74" s="150"/>
    </row>
    <row r="75" spans="4:15" ht="12.75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</row>
    <row r="76" spans="4:15" ht="21.75" customHeight="1"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</row>
    <row r="77" spans="4:14" ht="12.75">
      <c r="D77" s="153" t="s">
        <v>81</v>
      </c>
      <c r="E77" s="154"/>
      <c r="G77" s="153" t="s">
        <v>81</v>
      </c>
      <c r="H77" s="154"/>
      <c r="J77" s="153" t="s">
        <v>81</v>
      </c>
      <c r="K77" s="154"/>
      <c r="M77" s="153"/>
      <c r="N77" s="154"/>
    </row>
    <row r="78" spans="4:13" ht="12.75" customHeight="1">
      <c r="D78" s="37" t="s">
        <v>109</v>
      </c>
      <c r="E78" s="1">
        <v>10</v>
      </c>
      <c r="G78" s="37">
        <v>9631</v>
      </c>
      <c r="H78" s="1">
        <v>0</v>
      </c>
      <c r="I78" s="37" t="s">
        <v>154</v>
      </c>
      <c r="J78" s="37"/>
      <c r="K78" s="1">
        <v>0</v>
      </c>
      <c r="L78" s="37"/>
      <c r="M78" s="37"/>
    </row>
    <row r="79" spans="4:13" ht="12.75" customHeight="1">
      <c r="D79" s="107"/>
      <c r="G79" s="107"/>
      <c r="J79" s="107"/>
      <c r="M79" s="107"/>
    </row>
    <row r="80" spans="4:13" ht="12.75">
      <c r="D80" s="107"/>
      <c r="G80" s="107"/>
      <c r="J80" s="107"/>
      <c r="M80" s="107"/>
    </row>
    <row r="81" spans="5:11" ht="12.75">
      <c r="E81" s="1">
        <f>SUM(E78:E80)</f>
        <v>10</v>
      </c>
      <c r="H81" s="1">
        <f>SUM(H78:H80)</f>
        <v>0</v>
      </c>
      <c r="K81" s="1">
        <f>SUM(K78:K80)</f>
        <v>0</v>
      </c>
    </row>
    <row r="84" spans="4:14" ht="12.75" customHeight="1">
      <c r="D84" s="153" t="s">
        <v>82</v>
      </c>
      <c r="E84" s="154"/>
      <c r="G84" s="153" t="s">
        <v>82</v>
      </c>
      <c r="H84" s="154"/>
      <c r="I84" s="37" t="s">
        <v>155</v>
      </c>
      <c r="J84" s="153" t="s">
        <v>82</v>
      </c>
      <c r="K84" s="154"/>
      <c r="L84" s="37" t="s">
        <v>155</v>
      </c>
      <c r="M84" s="153"/>
      <c r="N84" s="154"/>
    </row>
    <row r="85" spans="4:13" ht="12.75">
      <c r="D85" s="37"/>
      <c r="G85" s="37"/>
      <c r="J85" s="37"/>
      <c r="M85" s="37"/>
    </row>
    <row r="91" spans="4:15" ht="12.75" customHeight="1">
      <c r="D91" s="152" t="s">
        <v>107</v>
      </c>
      <c r="E91" s="152"/>
      <c r="F91" s="152"/>
      <c r="G91" s="152" t="s">
        <v>158</v>
      </c>
      <c r="H91" s="152"/>
      <c r="I91" s="152"/>
      <c r="J91" s="152" t="s">
        <v>158</v>
      </c>
      <c r="K91" s="152"/>
      <c r="L91" s="152"/>
      <c r="M91" s="152"/>
      <c r="N91" s="152"/>
      <c r="O91" s="152"/>
    </row>
    <row r="92" spans="4:15" ht="12.75"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</row>
    <row r="93" spans="4:15" ht="12.75"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</row>
    <row r="94" spans="7:12" ht="12.75">
      <c r="G94" s="59"/>
      <c r="H94" s="59" t="s">
        <v>159</v>
      </c>
      <c r="I94" s="59" t="s">
        <v>161</v>
      </c>
      <c r="J94" s="149" t="s">
        <v>164</v>
      </c>
      <c r="K94" s="149"/>
      <c r="L94" s="149"/>
    </row>
    <row r="95" spans="7:12" ht="12.75">
      <c r="G95" s="59"/>
      <c r="H95" s="59" t="s">
        <v>160</v>
      </c>
      <c r="I95" s="59" t="s">
        <v>161</v>
      </c>
      <c r="J95" s="59"/>
      <c r="K95" s="59"/>
      <c r="L95" s="59"/>
    </row>
    <row r="96" spans="4:15" ht="12.75">
      <c r="D96" s="156"/>
      <c r="E96" s="154"/>
      <c r="F96" s="154"/>
      <c r="G96" s="59"/>
      <c r="H96" s="59"/>
      <c r="I96" s="59"/>
      <c r="M96" s="156"/>
      <c r="N96" s="154"/>
      <c r="O96" s="154"/>
    </row>
    <row r="97" spans="4:15" ht="12.75">
      <c r="D97" s="154"/>
      <c r="E97" s="154"/>
      <c r="F97" s="154"/>
      <c r="M97" s="154"/>
      <c r="N97" s="154"/>
      <c r="O97" s="154"/>
    </row>
    <row r="98" spans="4:15" ht="12.75">
      <c r="D98" s="156"/>
      <c r="E98" s="154"/>
      <c r="F98" s="154"/>
      <c r="M98" s="156"/>
      <c r="N98" s="154"/>
      <c r="O98" s="154"/>
    </row>
    <row r="99" spans="4:15" ht="12.75">
      <c r="D99" s="154"/>
      <c r="E99" s="154"/>
      <c r="F99" s="154"/>
      <c r="M99" s="154"/>
      <c r="N99" s="154"/>
      <c r="O99" s="154"/>
    </row>
  </sheetData>
  <sheetProtection/>
  <mergeCells count="31">
    <mergeCell ref="M77:N77"/>
    <mergeCell ref="G77:H77"/>
    <mergeCell ref="J84:K84"/>
    <mergeCell ref="M91:O93"/>
    <mergeCell ref="G84:H84"/>
    <mergeCell ref="M84:N84"/>
    <mergeCell ref="P58:Q58"/>
    <mergeCell ref="J59:L63"/>
    <mergeCell ref="J71:L73"/>
    <mergeCell ref="M59:O63"/>
    <mergeCell ref="M71:O73"/>
    <mergeCell ref="G59:I63"/>
    <mergeCell ref="G71:I73"/>
    <mergeCell ref="M98:O99"/>
    <mergeCell ref="G91:I93"/>
    <mergeCell ref="J91:L93"/>
    <mergeCell ref="M74:O76"/>
    <mergeCell ref="J74:L76"/>
    <mergeCell ref="G74:I76"/>
    <mergeCell ref="J77:K77"/>
    <mergeCell ref="M96:O97"/>
    <mergeCell ref="J94:L94"/>
    <mergeCell ref="D91:F93"/>
    <mergeCell ref="D96:F97"/>
    <mergeCell ref="D98:F99"/>
    <mergeCell ref="D84:E84"/>
    <mergeCell ref="D74:F76"/>
    <mergeCell ref="D1:F1"/>
    <mergeCell ref="D59:F63"/>
    <mergeCell ref="D71:F73"/>
    <mergeCell ref="D77:E77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D31" sqref="D31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5742187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39753</v>
      </c>
      <c r="E1" s="158"/>
      <c r="F1" s="159"/>
      <c r="G1" s="18"/>
      <c r="H1" s="32">
        <v>39760</v>
      </c>
      <c r="I1" s="19"/>
      <c r="J1" s="44"/>
      <c r="K1" s="32">
        <v>39767</v>
      </c>
      <c r="L1" s="45"/>
      <c r="M1" s="18"/>
      <c r="N1" s="32">
        <v>39774</v>
      </c>
      <c r="O1" s="19"/>
      <c r="P1" s="18"/>
      <c r="Q1" s="32">
        <v>39781</v>
      </c>
      <c r="R1" s="19"/>
      <c r="S1" s="18"/>
      <c r="T1" s="111" t="s">
        <v>189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'2008年10月'!R3</f>
        <v>68.06209999999999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-11.5*G3</f>
        <v>-11.5</v>
      </c>
      <c r="J3" s="68">
        <v>1</v>
      </c>
      <c r="K3" s="69"/>
      <c r="L3" s="70">
        <f>-10*J3</f>
        <v>-10</v>
      </c>
      <c r="M3" s="68">
        <v>1</v>
      </c>
      <c r="N3" s="69"/>
      <c r="O3" s="70">
        <f>-4.2105*M3</f>
        <v>-4.2105</v>
      </c>
      <c r="P3" s="68">
        <v>1</v>
      </c>
      <c r="Q3" s="69"/>
      <c r="R3" s="70">
        <f>-6.1905*P3</f>
        <v>-6.1905</v>
      </c>
      <c r="S3" s="68"/>
      <c r="T3" s="72"/>
      <c r="U3" s="101">
        <f>C3+E3+F3+H3+I3+K3+L3+N3+O3+T3+Q3+R3</f>
        <v>29.66109999999999</v>
      </c>
    </row>
    <row r="4" spans="1:21" ht="12.75">
      <c r="A4" s="2">
        <v>2</v>
      </c>
      <c r="B4" s="100" t="s">
        <v>3</v>
      </c>
      <c r="C4" s="67">
        <f>'2008年10月'!R4</f>
        <v>102.221</v>
      </c>
      <c r="D4" s="68">
        <v>1</v>
      </c>
      <c r="E4" s="69"/>
      <c r="F4" s="70">
        <f aca="true" t="shared" si="0" ref="F4:F47">-6.5*D4</f>
        <v>-6.5</v>
      </c>
      <c r="G4" s="68"/>
      <c r="H4" s="69"/>
      <c r="I4" s="70">
        <f aca="true" t="shared" si="1" ref="I4:I47">-11.5*G4</f>
        <v>0</v>
      </c>
      <c r="J4" s="68">
        <v>1</v>
      </c>
      <c r="K4" s="69"/>
      <c r="L4" s="70">
        <f aca="true" t="shared" si="2" ref="L4:L45">-10*J4</f>
        <v>-10</v>
      </c>
      <c r="M4" s="68">
        <v>1</v>
      </c>
      <c r="N4" s="69"/>
      <c r="O4" s="70">
        <f aca="true" t="shared" si="3" ref="O4:O47">-4.2105*M4</f>
        <v>-4.2105</v>
      </c>
      <c r="P4" s="68">
        <v>1</v>
      </c>
      <c r="Q4" s="69"/>
      <c r="R4" s="70">
        <f aca="true" t="shared" si="4" ref="R4:R47">-6.1905*P4</f>
        <v>-6.1905</v>
      </c>
      <c r="S4" s="73"/>
      <c r="T4" s="72">
        <v>-14</v>
      </c>
      <c r="U4" s="101">
        <f>C4+E4+F4+H4+I4+K4+L4+N4+O4+T4+Q4+R4</f>
        <v>61.32000000000001</v>
      </c>
    </row>
    <row r="5" spans="1:21" ht="12.75">
      <c r="A5" s="2">
        <v>3</v>
      </c>
      <c r="B5" s="102" t="s">
        <v>13</v>
      </c>
      <c r="C5" s="67">
        <f>'2008年10月'!R5</f>
        <v>23.136599999999994</v>
      </c>
      <c r="D5" s="68"/>
      <c r="E5" s="69"/>
      <c r="F5" s="70">
        <f t="shared" si="0"/>
        <v>0</v>
      </c>
      <c r="G5" s="68"/>
      <c r="H5" s="69"/>
      <c r="I5" s="70">
        <f t="shared" si="1"/>
        <v>0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>
        <v>1</v>
      </c>
      <c r="Q5" s="69">
        <v>100</v>
      </c>
      <c r="R5" s="70">
        <f t="shared" si="4"/>
        <v>-6.1905</v>
      </c>
      <c r="S5" s="68"/>
      <c r="T5" s="72">
        <v>-14</v>
      </c>
      <c r="U5" s="101">
        <f aca="true" t="shared" si="5" ref="U5:U47">C5+E5+F5+H5+I5+K5+L5+N5+O5+T5+Q5+R5</f>
        <v>102.94609999999999</v>
      </c>
    </row>
    <row r="6" spans="1:23" ht="12.75">
      <c r="A6" s="2">
        <v>4</v>
      </c>
      <c r="B6" s="103" t="s">
        <v>20</v>
      </c>
      <c r="C6" s="74">
        <f>'2008年10月'!R6</f>
        <v>27.8458</v>
      </c>
      <c r="D6" s="80">
        <v>1</v>
      </c>
      <c r="E6" s="76"/>
      <c r="F6" s="77">
        <f t="shared" si="0"/>
        <v>-6.5</v>
      </c>
      <c r="G6" s="80"/>
      <c r="H6" s="76"/>
      <c r="I6" s="77">
        <f t="shared" si="1"/>
        <v>0</v>
      </c>
      <c r="J6" s="80">
        <v>1</v>
      </c>
      <c r="K6" s="76"/>
      <c r="L6" s="77">
        <f t="shared" si="2"/>
        <v>-10</v>
      </c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5"/>
        <v>11.3458</v>
      </c>
      <c r="W6" s="37"/>
    </row>
    <row r="7" spans="1:21" ht="12.75">
      <c r="A7" s="2">
        <v>5</v>
      </c>
      <c r="B7" s="103" t="s">
        <v>46</v>
      </c>
      <c r="C7" s="74">
        <f>'2008年10月'!R7</f>
        <v>36.80050000000001</v>
      </c>
      <c r="D7" s="75"/>
      <c r="E7" s="76"/>
      <c r="F7" s="77">
        <f t="shared" si="0"/>
        <v>0</v>
      </c>
      <c r="G7" s="75">
        <v>1</v>
      </c>
      <c r="H7" s="76"/>
      <c r="I7" s="77">
        <f t="shared" si="1"/>
        <v>-11.5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>
        <f t="shared" si="4"/>
        <v>0</v>
      </c>
      <c r="S7" s="75"/>
      <c r="T7" s="79"/>
      <c r="U7" s="101">
        <f t="shared" si="5"/>
        <v>25.300500000000007</v>
      </c>
    </row>
    <row r="8" spans="1:21" ht="12.75">
      <c r="A8" s="2">
        <v>6</v>
      </c>
      <c r="B8" s="103" t="s">
        <v>47</v>
      </c>
      <c r="C8" s="74">
        <f>'2008年10月'!R8</f>
        <v>108.4278</v>
      </c>
      <c r="D8" s="75"/>
      <c r="E8" s="76"/>
      <c r="F8" s="77">
        <f t="shared" si="0"/>
        <v>0</v>
      </c>
      <c r="G8" s="75">
        <v>1</v>
      </c>
      <c r="H8" s="76"/>
      <c r="I8" s="77">
        <f t="shared" si="1"/>
        <v>-11.5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5"/>
        <v>96.9278</v>
      </c>
    </row>
    <row r="9" spans="1:21" ht="12.75">
      <c r="A9" s="2">
        <v>7</v>
      </c>
      <c r="B9" s="106" t="s">
        <v>93</v>
      </c>
      <c r="C9" s="88">
        <f>'2008年10月'!R9</f>
        <v>63.679</v>
      </c>
      <c r="D9" s="89"/>
      <c r="E9" s="90"/>
      <c r="F9" s="91">
        <f t="shared" si="0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5"/>
        <v>63.679</v>
      </c>
    </row>
    <row r="10" spans="1:21" ht="12.75">
      <c r="A10" s="2">
        <v>8</v>
      </c>
      <c r="B10" s="106" t="s">
        <v>94</v>
      </c>
      <c r="C10" s="88">
        <f>'2008年10月'!R10</f>
        <v>50.14110000000001</v>
      </c>
      <c r="D10" s="94"/>
      <c r="E10" s="90"/>
      <c r="F10" s="91">
        <f t="shared" si="0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5"/>
        <v>50.14110000000001</v>
      </c>
    </row>
    <row r="11" spans="1:21" ht="12.75">
      <c r="A11" s="2">
        <v>9</v>
      </c>
      <c r="B11" s="106" t="s">
        <v>95</v>
      </c>
      <c r="C11" s="88">
        <f>'2008年10月'!R11</f>
        <v>84.48</v>
      </c>
      <c r="D11" s="89"/>
      <c r="E11" s="90"/>
      <c r="F11" s="91">
        <f t="shared" si="0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5"/>
        <v>84.48</v>
      </c>
    </row>
    <row r="12" spans="1:21" ht="12.75">
      <c r="A12" s="2">
        <v>10</v>
      </c>
      <c r="B12" s="104" t="s">
        <v>27</v>
      </c>
      <c r="C12" s="81">
        <f>'2008年10月'!R12</f>
        <v>15.548900000000007</v>
      </c>
      <c r="D12" s="82"/>
      <c r="E12" s="83"/>
      <c r="F12" s="84">
        <f t="shared" si="0"/>
        <v>0</v>
      </c>
      <c r="G12" s="82"/>
      <c r="H12" s="83"/>
      <c r="I12" s="84">
        <f t="shared" si="1"/>
        <v>0</v>
      </c>
      <c r="J12" s="82"/>
      <c r="K12" s="83"/>
      <c r="L12" s="84">
        <f t="shared" si="2"/>
        <v>0</v>
      </c>
      <c r="M12" s="82">
        <v>1</v>
      </c>
      <c r="N12" s="83">
        <v>100</v>
      </c>
      <c r="O12" s="84">
        <f>-4.2105*M12-10</f>
        <v>-14.2105</v>
      </c>
      <c r="P12" s="82"/>
      <c r="Q12" s="83"/>
      <c r="R12" s="84">
        <f t="shared" si="4"/>
        <v>0</v>
      </c>
      <c r="S12" s="82"/>
      <c r="T12" s="87"/>
      <c r="U12" s="101">
        <f t="shared" si="5"/>
        <v>101.33840000000001</v>
      </c>
    </row>
    <row r="13" spans="1:21" ht="12.75">
      <c r="A13" s="2">
        <v>11</v>
      </c>
      <c r="B13" s="104" t="s">
        <v>96</v>
      </c>
      <c r="C13" s="81">
        <f>'2008年10月'!R13</f>
        <v>41.41510000000001</v>
      </c>
      <c r="D13" s="82"/>
      <c r="E13" s="83"/>
      <c r="F13" s="84">
        <f t="shared" si="0"/>
        <v>0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>
        <v>1</v>
      </c>
      <c r="Q13" s="83"/>
      <c r="R13" s="84">
        <f t="shared" si="4"/>
        <v>-6.1905</v>
      </c>
      <c r="S13" s="86"/>
      <c r="T13" s="87">
        <v>-14</v>
      </c>
      <c r="U13" s="101">
        <f t="shared" si="5"/>
        <v>21.22460000000001</v>
      </c>
    </row>
    <row r="14" spans="1:21" ht="12.75">
      <c r="A14" s="2">
        <v>12</v>
      </c>
      <c r="B14" s="104" t="s">
        <v>29</v>
      </c>
      <c r="C14" s="81">
        <f>'2008年10月'!R14</f>
        <v>44.65440000000001</v>
      </c>
      <c r="D14" s="82"/>
      <c r="E14" s="83"/>
      <c r="F14" s="84">
        <f t="shared" si="0"/>
        <v>0</v>
      </c>
      <c r="G14" s="82"/>
      <c r="H14" s="83"/>
      <c r="I14" s="84">
        <f t="shared" si="1"/>
        <v>0</v>
      </c>
      <c r="J14" s="82">
        <v>1</v>
      </c>
      <c r="K14" s="83"/>
      <c r="L14" s="84">
        <f t="shared" si="2"/>
        <v>-10</v>
      </c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5"/>
        <v>34.65440000000001</v>
      </c>
    </row>
    <row r="15" spans="1:21" ht="12.75">
      <c r="A15" s="2">
        <v>13</v>
      </c>
      <c r="B15" s="105" t="s">
        <v>30</v>
      </c>
      <c r="C15" s="60">
        <f>'2008年10月'!R15</f>
        <v>53.80800000000001</v>
      </c>
      <c r="D15" s="61"/>
      <c r="E15" s="62"/>
      <c r="F15" s="63">
        <f t="shared" si="0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5"/>
        <v>53.80800000000001</v>
      </c>
    </row>
    <row r="16" spans="1:21" ht="12.75">
      <c r="A16" s="2">
        <v>14</v>
      </c>
      <c r="B16" s="105" t="s">
        <v>88</v>
      </c>
      <c r="C16" s="60">
        <f>'2008年10月'!R16</f>
        <v>89.3185</v>
      </c>
      <c r="D16" s="61">
        <v>1</v>
      </c>
      <c r="E16" s="62"/>
      <c r="F16" s="63">
        <f t="shared" si="0"/>
        <v>-6.5</v>
      </c>
      <c r="G16" s="61">
        <v>1</v>
      </c>
      <c r="H16" s="62"/>
      <c r="I16" s="63">
        <f t="shared" si="1"/>
        <v>-11.5</v>
      </c>
      <c r="J16" s="61">
        <v>1</v>
      </c>
      <c r="K16" s="62"/>
      <c r="L16" s="63">
        <f t="shared" si="2"/>
        <v>-10</v>
      </c>
      <c r="M16" s="61">
        <v>1</v>
      </c>
      <c r="N16" s="62"/>
      <c r="O16" s="63">
        <f t="shared" si="3"/>
        <v>-4.2105</v>
      </c>
      <c r="P16" s="61">
        <v>1</v>
      </c>
      <c r="Q16" s="62"/>
      <c r="R16" s="63">
        <f t="shared" si="4"/>
        <v>-6.1905</v>
      </c>
      <c r="S16" s="61"/>
      <c r="T16" s="65">
        <v>-14</v>
      </c>
      <c r="U16" s="101">
        <f t="shared" si="5"/>
        <v>36.917500000000004</v>
      </c>
    </row>
    <row r="17" spans="1:21" ht="12.75">
      <c r="A17" s="2">
        <v>15</v>
      </c>
      <c r="B17" s="105" t="s">
        <v>55</v>
      </c>
      <c r="C17" s="60">
        <f>'2008年10月'!R17</f>
        <v>20.71940000000001</v>
      </c>
      <c r="D17" s="61"/>
      <c r="E17" s="62"/>
      <c r="F17" s="63">
        <f t="shared" si="0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5"/>
        <v>20.71940000000001</v>
      </c>
    </row>
    <row r="18" spans="1:21" ht="12.75">
      <c r="A18" s="2">
        <v>16</v>
      </c>
      <c r="B18" s="102" t="s">
        <v>34</v>
      </c>
      <c r="C18" s="67">
        <f>'2008年10月'!R18</f>
        <v>31.673100000000005</v>
      </c>
      <c r="D18" s="68"/>
      <c r="E18" s="69"/>
      <c r="F18" s="70">
        <f t="shared" si="0"/>
        <v>0</v>
      </c>
      <c r="G18" s="68">
        <v>1</v>
      </c>
      <c r="H18" s="69"/>
      <c r="I18" s="70">
        <f t="shared" si="1"/>
        <v>-11.5</v>
      </c>
      <c r="J18" s="68">
        <v>1</v>
      </c>
      <c r="K18" s="69"/>
      <c r="L18" s="70">
        <f t="shared" si="2"/>
        <v>-10</v>
      </c>
      <c r="M18" s="68">
        <v>1</v>
      </c>
      <c r="N18" s="69">
        <v>100</v>
      </c>
      <c r="O18" s="70">
        <f t="shared" si="3"/>
        <v>-4.2105</v>
      </c>
      <c r="P18" s="68">
        <v>1</v>
      </c>
      <c r="Q18" s="69"/>
      <c r="R18" s="70">
        <f t="shared" si="4"/>
        <v>-6.1905</v>
      </c>
      <c r="S18" s="68"/>
      <c r="T18" s="72">
        <v>-14</v>
      </c>
      <c r="U18" s="101">
        <f t="shared" si="5"/>
        <v>85.77210000000001</v>
      </c>
    </row>
    <row r="19" spans="1:23" ht="12.75">
      <c r="A19" s="2">
        <v>17</v>
      </c>
      <c r="B19" s="102" t="s">
        <v>56</v>
      </c>
      <c r="C19" s="67">
        <f>'2008年10月'!R19</f>
        <v>24.655800000000006</v>
      </c>
      <c r="D19" s="68">
        <v>1</v>
      </c>
      <c r="E19" s="69"/>
      <c r="F19" s="70">
        <f>-6.5*D19-10</f>
        <v>-16.5</v>
      </c>
      <c r="G19" s="68"/>
      <c r="H19" s="69"/>
      <c r="I19" s="70">
        <f t="shared" si="1"/>
        <v>0</v>
      </c>
      <c r="J19" s="68">
        <v>2</v>
      </c>
      <c r="K19" s="69">
        <v>100</v>
      </c>
      <c r="L19" s="70">
        <f t="shared" si="2"/>
        <v>-20</v>
      </c>
      <c r="M19" s="68"/>
      <c r="N19" s="69"/>
      <c r="O19" s="70">
        <f t="shared" si="3"/>
        <v>0</v>
      </c>
      <c r="P19" s="68">
        <v>2</v>
      </c>
      <c r="Q19" s="69"/>
      <c r="R19" s="70">
        <f>-6.1905*P19-10</f>
        <v>-22.381</v>
      </c>
      <c r="S19" s="73"/>
      <c r="T19" s="72">
        <v>-14</v>
      </c>
      <c r="U19" s="101">
        <f t="shared" si="5"/>
        <v>51.7748</v>
      </c>
      <c r="W19" s="37"/>
    </row>
    <row r="20" spans="1:21" ht="12.75">
      <c r="A20" s="2">
        <v>18</v>
      </c>
      <c r="B20" s="102" t="s">
        <v>57</v>
      </c>
      <c r="C20" s="67">
        <f>'2008年10月'!R20</f>
        <v>70.158</v>
      </c>
      <c r="D20" s="68"/>
      <c r="E20" s="69"/>
      <c r="F20" s="70">
        <f t="shared" si="0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5"/>
        <v>70.158</v>
      </c>
    </row>
    <row r="21" spans="1:21" ht="12.75">
      <c r="A21" s="2">
        <v>19</v>
      </c>
      <c r="B21" s="103" t="s">
        <v>69</v>
      </c>
      <c r="C21" s="74">
        <f>'2008年10月'!R21</f>
        <v>34.523900000000005</v>
      </c>
      <c r="D21" s="75"/>
      <c r="E21" s="76"/>
      <c r="F21" s="77">
        <f t="shared" si="0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5"/>
        <v>34.523900000000005</v>
      </c>
    </row>
    <row r="22" spans="1:21" ht="12.75">
      <c r="A22" s="2">
        <v>20</v>
      </c>
      <c r="B22" s="103" t="s">
        <v>152</v>
      </c>
      <c r="C22" s="74">
        <f>'2008年10月'!R22</f>
        <v>7.746100000000006</v>
      </c>
      <c r="D22" s="75">
        <v>1</v>
      </c>
      <c r="E22" s="76">
        <v>100</v>
      </c>
      <c r="F22" s="77">
        <f t="shared" si="0"/>
        <v>-6.5</v>
      </c>
      <c r="G22" s="75">
        <v>1</v>
      </c>
      <c r="H22" s="76"/>
      <c r="I22" s="77">
        <f t="shared" si="1"/>
        <v>-11.5</v>
      </c>
      <c r="J22" s="75"/>
      <c r="K22" s="76"/>
      <c r="L22" s="77">
        <f t="shared" si="2"/>
        <v>0</v>
      </c>
      <c r="M22" s="75">
        <v>1</v>
      </c>
      <c r="N22" s="76"/>
      <c r="O22" s="77">
        <f t="shared" si="3"/>
        <v>-4.2105</v>
      </c>
      <c r="P22" s="75">
        <v>1</v>
      </c>
      <c r="Q22" s="76"/>
      <c r="R22" s="77">
        <f t="shared" si="4"/>
        <v>-6.1905</v>
      </c>
      <c r="S22" s="75"/>
      <c r="T22" s="79">
        <v>-14</v>
      </c>
      <c r="U22" s="101">
        <f t="shared" si="5"/>
        <v>65.34510000000002</v>
      </c>
    </row>
    <row r="23" spans="1:21" ht="12.75">
      <c r="A23" s="2">
        <v>21</v>
      </c>
      <c r="B23" s="103" t="s">
        <v>41</v>
      </c>
      <c r="C23" s="74">
        <f>'2008年10月'!R23</f>
        <v>76.955</v>
      </c>
      <c r="D23" s="75"/>
      <c r="E23" s="76"/>
      <c r="F23" s="77">
        <f t="shared" si="0"/>
        <v>0</v>
      </c>
      <c r="G23" s="75"/>
      <c r="H23" s="76"/>
      <c r="I23" s="77">
        <f t="shared" si="1"/>
        <v>0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>
        <f t="shared" si="4"/>
        <v>0</v>
      </c>
      <c r="S23" s="80"/>
      <c r="T23" s="79"/>
      <c r="U23" s="101">
        <f t="shared" si="5"/>
        <v>76.955</v>
      </c>
    </row>
    <row r="24" spans="1:21" ht="12.75">
      <c r="A24" s="2">
        <v>22</v>
      </c>
      <c r="B24" s="106" t="s">
        <v>64</v>
      </c>
      <c r="C24" s="88">
        <f>'2008年10月'!R24</f>
        <v>58.029900000000005</v>
      </c>
      <c r="D24" s="89"/>
      <c r="E24" s="90"/>
      <c r="F24" s="91">
        <f t="shared" si="0"/>
        <v>0</v>
      </c>
      <c r="G24" s="89">
        <v>1</v>
      </c>
      <c r="H24" s="90"/>
      <c r="I24" s="91">
        <f t="shared" si="1"/>
        <v>-11.5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-4.2105</v>
      </c>
      <c r="P24" s="89">
        <v>1</v>
      </c>
      <c r="Q24" s="90"/>
      <c r="R24" s="91">
        <f t="shared" si="4"/>
        <v>-6.1905</v>
      </c>
      <c r="S24" s="89"/>
      <c r="T24" s="93">
        <v>-14</v>
      </c>
      <c r="U24" s="101">
        <f t="shared" si="5"/>
        <v>22.1289</v>
      </c>
    </row>
    <row r="25" spans="1:21" ht="12.75">
      <c r="A25" s="2">
        <v>23</v>
      </c>
      <c r="B25" s="106" t="s">
        <v>45</v>
      </c>
      <c r="C25" s="88">
        <f>'2008年10月'!R25</f>
        <v>33.61730000000001</v>
      </c>
      <c r="D25" s="89">
        <v>1</v>
      </c>
      <c r="E25" s="90"/>
      <c r="F25" s="91">
        <f t="shared" si="0"/>
        <v>-6.5</v>
      </c>
      <c r="G25" s="89">
        <v>1</v>
      </c>
      <c r="H25" s="90"/>
      <c r="I25" s="91">
        <f t="shared" si="1"/>
        <v>-11.5</v>
      </c>
      <c r="J25" s="89">
        <v>1</v>
      </c>
      <c r="K25" s="90">
        <v>100</v>
      </c>
      <c r="L25" s="91">
        <f t="shared" si="2"/>
        <v>-10</v>
      </c>
      <c r="M25" s="89">
        <v>1</v>
      </c>
      <c r="N25" s="90"/>
      <c r="O25" s="91">
        <f t="shared" si="3"/>
        <v>-4.2105</v>
      </c>
      <c r="P25" s="89">
        <v>1</v>
      </c>
      <c r="Q25" s="90"/>
      <c r="R25" s="91">
        <f t="shared" si="4"/>
        <v>-6.1905</v>
      </c>
      <c r="S25" s="89"/>
      <c r="T25" s="93">
        <v>-14</v>
      </c>
      <c r="U25" s="101">
        <f t="shared" si="5"/>
        <v>81.2163</v>
      </c>
    </row>
    <row r="26" spans="1:21" ht="12.75">
      <c r="A26" s="2">
        <v>24</v>
      </c>
      <c r="B26" s="106" t="s">
        <v>77</v>
      </c>
      <c r="C26" s="88">
        <f>'2008年10月'!R26</f>
        <v>97.9871</v>
      </c>
      <c r="D26" s="89">
        <v>1</v>
      </c>
      <c r="E26" s="90"/>
      <c r="F26" s="91">
        <f t="shared" si="0"/>
        <v>-6.5</v>
      </c>
      <c r="G26" s="89"/>
      <c r="H26" s="90"/>
      <c r="I26" s="91">
        <f t="shared" si="1"/>
        <v>0</v>
      </c>
      <c r="J26" s="89"/>
      <c r="K26" s="90"/>
      <c r="L26" s="91">
        <f t="shared" si="2"/>
        <v>0</v>
      </c>
      <c r="M26" s="89">
        <v>2</v>
      </c>
      <c r="N26" s="90"/>
      <c r="O26" s="91">
        <f t="shared" si="3"/>
        <v>-8.421</v>
      </c>
      <c r="P26" s="89">
        <v>1</v>
      </c>
      <c r="Q26" s="90"/>
      <c r="R26" s="91">
        <f t="shared" si="4"/>
        <v>-6.1905</v>
      </c>
      <c r="S26" s="94"/>
      <c r="T26" s="93">
        <v>-14</v>
      </c>
      <c r="U26" s="101">
        <f t="shared" si="5"/>
        <v>62.875600000000006</v>
      </c>
    </row>
    <row r="27" spans="1:21" ht="12.75">
      <c r="A27" s="2">
        <v>25</v>
      </c>
      <c r="B27" s="104" t="s">
        <v>97</v>
      </c>
      <c r="C27" s="81">
        <f>'2008年10月'!R27</f>
        <v>42.632</v>
      </c>
      <c r="D27" s="82"/>
      <c r="E27" s="98"/>
      <c r="F27" s="84">
        <f t="shared" si="0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5"/>
        <v>42.632</v>
      </c>
    </row>
    <row r="28" spans="1:21" ht="12.75">
      <c r="A28" s="2">
        <v>26</v>
      </c>
      <c r="B28" s="104" t="s">
        <v>98</v>
      </c>
      <c r="C28" s="81">
        <f>'2008年10月'!R28</f>
        <v>29.091200000000004</v>
      </c>
      <c r="D28" s="86">
        <v>1</v>
      </c>
      <c r="E28" s="98"/>
      <c r="F28" s="84">
        <f t="shared" si="0"/>
        <v>-6.5</v>
      </c>
      <c r="G28" s="86">
        <v>1</v>
      </c>
      <c r="H28" s="98"/>
      <c r="I28" s="84">
        <f t="shared" si="1"/>
        <v>-11.5</v>
      </c>
      <c r="J28" s="86">
        <v>1</v>
      </c>
      <c r="K28" s="98"/>
      <c r="L28" s="84">
        <f t="shared" si="2"/>
        <v>-10</v>
      </c>
      <c r="M28" s="86">
        <v>1</v>
      </c>
      <c r="N28" s="98"/>
      <c r="O28" s="84">
        <f t="shared" si="3"/>
        <v>-4.2105</v>
      </c>
      <c r="P28" s="86">
        <v>1</v>
      </c>
      <c r="Q28" s="98">
        <v>100</v>
      </c>
      <c r="R28" s="84">
        <f t="shared" si="4"/>
        <v>-6.1905</v>
      </c>
      <c r="S28" s="86"/>
      <c r="T28" s="87">
        <v>-14</v>
      </c>
      <c r="U28" s="101">
        <f t="shared" si="5"/>
        <v>76.6902</v>
      </c>
    </row>
    <row r="29" spans="1:21" ht="12.75">
      <c r="A29" s="2">
        <v>27</v>
      </c>
      <c r="B29" s="104" t="s">
        <v>172</v>
      </c>
      <c r="C29" s="81">
        <f>'2008年10月'!R29</f>
        <v>76.3463</v>
      </c>
      <c r="D29" s="82">
        <v>1</v>
      </c>
      <c r="E29" s="83"/>
      <c r="F29" s="84">
        <f t="shared" si="0"/>
        <v>-6.5</v>
      </c>
      <c r="G29" s="82">
        <v>1</v>
      </c>
      <c r="H29" s="83"/>
      <c r="I29" s="84">
        <f t="shared" si="1"/>
        <v>-11.5</v>
      </c>
      <c r="J29" s="82">
        <v>1</v>
      </c>
      <c r="K29" s="83"/>
      <c r="L29" s="84">
        <f t="shared" si="2"/>
        <v>-10</v>
      </c>
      <c r="M29" s="82">
        <v>1</v>
      </c>
      <c r="N29" s="83"/>
      <c r="O29" s="84">
        <f t="shared" si="3"/>
        <v>-4.2105</v>
      </c>
      <c r="P29" s="82">
        <v>1</v>
      </c>
      <c r="Q29" s="83"/>
      <c r="R29" s="84">
        <f t="shared" si="4"/>
        <v>-6.1905</v>
      </c>
      <c r="S29" s="82"/>
      <c r="T29" s="87"/>
      <c r="U29" s="101">
        <f t="shared" si="5"/>
        <v>37.9453</v>
      </c>
    </row>
    <row r="30" spans="1:22" ht="12.75">
      <c r="A30" s="2">
        <v>28</v>
      </c>
      <c r="B30" s="105" t="s">
        <v>108</v>
      </c>
      <c r="C30" s="60">
        <f>'2008年10月'!R30</f>
        <v>51.731</v>
      </c>
      <c r="D30" s="66">
        <v>1</v>
      </c>
      <c r="E30" s="99"/>
      <c r="F30" s="63">
        <f t="shared" si="0"/>
        <v>-6.5</v>
      </c>
      <c r="G30" s="66">
        <v>1</v>
      </c>
      <c r="H30" s="99"/>
      <c r="I30" s="63">
        <f t="shared" si="1"/>
        <v>-11.5</v>
      </c>
      <c r="J30" s="66">
        <v>1</v>
      </c>
      <c r="K30" s="99"/>
      <c r="L30" s="63">
        <f t="shared" si="2"/>
        <v>-10</v>
      </c>
      <c r="M30" s="66">
        <v>1</v>
      </c>
      <c r="N30" s="99"/>
      <c r="O30" s="63">
        <f t="shared" si="3"/>
        <v>-4.2105</v>
      </c>
      <c r="P30" s="66">
        <v>1</v>
      </c>
      <c r="Q30" s="99"/>
      <c r="R30" s="63">
        <f>-6.1905*P30-10</f>
        <v>-16.1905</v>
      </c>
      <c r="S30" s="66"/>
      <c r="T30" s="65"/>
      <c r="U30" s="101">
        <f t="shared" si="5"/>
        <v>3.330000000000002</v>
      </c>
      <c r="V30" s="37"/>
    </row>
    <row r="31" spans="1:21" ht="12.75">
      <c r="A31" s="2">
        <v>29</v>
      </c>
      <c r="B31" s="105" t="s">
        <v>89</v>
      </c>
      <c r="C31" s="60">
        <f>'2008年10月'!R31</f>
        <v>68.4969</v>
      </c>
      <c r="D31" s="61"/>
      <c r="E31" s="99"/>
      <c r="F31" s="63">
        <f t="shared" si="0"/>
        <v>0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>
        <f t="shared" si="4"/>
        <v>0</v>
      </c>
      <c r="S31" s="61"/>
      <c r="T31" s="65"/>
      <c r="U31" s="101">
        <f t="shared" si="5"/>
        <v>68.4969</v>
      </c>
    </row>
    <row r="32" spans="1:21" ht="12.75">
      <c r="A32" s="2">
        <v>30</v>
      </c>
      <c r="B32" s="105" t="s">
        <v>166</v>
      </c>
      <c r="C32" s="60">
        <f>'2008年10月'!R32</f>
        <v>81.4712</v>
      </c>
      <c r="D32" s="66">
        <v>2</v>
      </c>
      <c r="E32" s="99"/>
      <c r="F32" s="63">
        <f t="shared" si="0"/>
        <v>-13</v>
      </c>
      <c r="G32" s="66">
        <v>1</v>
      </c>
      <c r="H32" s="99"/>
      <c r="I32" s="63">
        <f t="shared" si="1"/>
        <v>-11.5</v>
      </c>
      <c r="J32" s="66">
        <v>1</v>
      </c>
      <c r="K32" s="99"/>
      <c r="L32" s="63">
        <f t="shared" si="2"/>
        <v>-10</v>
      </c>
      <c r="M32" s="66">
        <v>1</v>
      </c>
      <c r="N32" s="99"/>
      <c r="O32" s="63">
        <f t="shared" si="3"/>
        <v>-4.2105</v>
      </c>
      <c r="P32" s="66"/>
      <c r="Q32" s="99"/>
      <c r="R32" s="63">
        <f t="shared" si="4"/>
        <v>0</v>
      </c>
      <c r="S32" s="66"/>
      <c r="T32" s="65"/>
      <c r="U32" s="101">
        <f t="shared" si="5"/>
        <v>42.7607</v>
      </c>
    </row>
    <row r="33" spans="1:21" ht="12.75">
      <c r="A33" s="2">
        <v>31</v>
      </c>
      <c r="B33" s="102" t="s">
        <v>167</v>
      </c>
      <c r="C33" s="67">
        <f>'2008年10月'!R33</f>
        <v>52.5881</v>
      </c>
      <c r="D33" s="68"/>
      <c r="E33" s="69"/>
      <c r="F33" s="70">
        <f t="shared" si="0"/>
        <v>0</v>
      </c>
      <c r="G33" s="68"/>
      <c r="H33" s="69"/>
      <c r="I33" s="70">
        <f t="shared" si="1"/>
        <v>0</v>
      </c>
      <c r="J33" s="68"/>
      <c r="K33" s="69"/>
      <c r="L33" s="70">
        <f t="shared" si="2"/>
        <v>0</v>
      </c>
      <c r="M33" s="68"/>
      <c r="N33" s="69"/>
      <c r="O33" s="70">
        <f t="shared" si="3"/>
        <v>0</v>
      </c>
      <c r="P33" s="68"/>
      <c r="Q33" s="69"/>
      <c r="R33" s="70">
        <f t="shared" si="4"/>
        <v>0</v>
      </c>
      <c r="S33" s="68"/>
      <c r="T33" s="72"/>
      <c r="U33" s="101">
        <f t="shared" si="5"/>
        <v>52.5881</v>
      </c>
    </row>
    <row r="34" spans="1:21" ht="12.75">
      <c r="A34" s="2">
        <v>32</v>
      </c>
      <c r="B34" s="102" t="s">
        <v>106</v>
      </c>
      <c r="C34" s="67">
        <f>'2008年10月'!R34</f>
        <v>48.0048</v>
      </c>
      <c r="D34" s="68">
        <v>1</v>
      </c>
      <c r="E34" s="69"/>
      <c r="F34" s="70">
        <f t="shared" si="0"/>
        <v>-6.5</v>
      </c>
      <c r="G34" s="68">
        <v>1</v>
      </c>
      <c r="H34" s="69"/>
      <c r="I34" s="70">
        <f t="shared" si="1"/>
        <v>-11.5</v>
      </c>
      <c r="J34" s="68">
        <v>1</v>
      </c>
      <c r="K34" s="69"/>
      <c r="L34" s="70">
        <f t="shared" si="2"/>
        <v>-10</v>
      </c>
      <c r="M34" s="68">
        <v>1</v>
      </c>
      <c r="N34" s="69"/>
      <c r="O34" s="70">
        <f t="shared" si="3"/>
        <v>-4.2105</v>
      </c>
      <c r="P34" s="68">
        <v>1</v>
      </c>
      <c r="Q34" s="69">
        <v>100</v>
      </c>
      <c r="R34" s="70">
        <f t="shared" si="4"/>
        <v>-6.1905</v>
      </c>
      <c r="S34" s="73"/>
      <c r="T34" s="72">
        <v>-14</v>
      </c>
      <c r="U34" s="101">
        <f t="shared" si="5"/>
        <v>95.6038</v>
      </c>
    </row>
    <row r="35" spans="1:21" ht="12.75">
      <c r="A35" s="2">
        <v>33</v>
      </c>
      <c r="B35" s="102" t="s">
        <v>168</v>
      </c>
      <c r="C35" s="67">
        <f>'2008年10月'!R35</f>
        <v>70.9373</v>
      </c>
      <c r="D35" s="68">
        <v>1</v>
      </c>
      <c r="E35" s="69"/>
      <c r="F35" s="70">
        <f t="shared" si="0"/>
        <v>-6.5</v>
      </c>
      <c r="G35" s="68">
        <v>1</v>
      </c>
      <c r="H35" s="69"/>
      <c r="I35" s="70">
        <f t="shared" si="1"/>
        <v>-11.5</v>
      </c>
      <c r="J35" s="68">
        <v>1</v>
      </c>
      <c r="K35" s="69"/>
      <c r="L35" s="70">
        <f t="shared" si="2"/>
        <v>-10</v>
      </c>
      <c r="M35" s="68">
        <v>1</v>
      </c>
      <c r="N35" s="69"/>
      <c r="O35" s="70">
        <f t="shared" si="3"/>
        <v>-4.2105</v>
      </c>
      <c r="P35" s="68">
        <v>1</v>
      </c>
      <c r="Q35" s="69"/>
      <c r="R35" s="70">
        <f t="shared" si="4"/>
        <v>-6.1905</v>
      </c>
      <c r="S35" s="68"/>
      <c r="T35" s="72">
        <v>-14</v>
      </c>
      <c r="U35" s="101">
        <f t="shared" si="5"/>
        <v>18.536299999999997</v>
      </c>
    </row>
    <row r="36" spans="1:21" ht="12.75">
      <c r="A36" s="2">
        <v>34</v>
      </c>
      <c r="B36" s="103" t="s">
        <v>109</v>
      </c>
      <c r="C36" s="74">
        <f>'2008年10月'!R36</f>
        <v>64.6257</v>
      </c>
      <c r="D36" s="75">
        <v>1</v>
      </c>
      <c r="E36" s="76"/>
      <c r="F36" s="77">
        <f>-6.5*D36-10</f>
        <v>-16.5</v>
      </c>
      <c r="G36" s="75"/>
      <c r="H36" s="76"/>
      <c r="I36" s="77">
        <f t="shared" si="1"/>
        <v>0</v>
      </c>
      <c r="J36" s="75">
        <v>1</v>
      </c>
      <c r="K36" s="76"/>
      <c r="L36" s="77">
        <f t="shared" si="2"/>
        <v>-10</v>
      </c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>C36+E36+F36+H36+I36+K36+L36+N36+O36+T36+Q36+R36</f>
        <v>38.125699999999995</v>
      </c>
    </row>
    <row r="37" spans="1:22" ht="12.75">
      <c r="A37" s="2">
        <v>35</v>
      </c>
      <c r="B37" s="103" t="s">
        <v>116</v>
      </c>
      <c r="C37" s="74">
        <f>'2008年10月'!R37</f>
        <v>90.29759999999999</v>
      </c>
      <c r="D37" s="75">
        <v>1</v>
      </c>
      <c r="E37" s="76"/>
      <c r="F37" s="77">
        <f t="shared" si="0"/>
        <v>-6.5</v>
      </c>
      <c r="G37" s="75">
        <v>1</v>
      </c>
      <c r="H37" s="76"/>
      <c r="I37" s="77">
        <f t="shared" si="1"/>
        <v>-11.5</v>
      </c>
      <c r="J37" s="75">
        <v>1</v>
      </c>
      <c r="K37" s="76"/>
      <c r="L37" s="77">
        <f t="shared" si="2"/>
        <v>-10</v>
      </c>
      <c r="M37" s="75"/>
      <c r="N37" s="76"/>
      <c r="O37" s="77">
        <f t="shared" si="3"/>
        <v>0</v>
      </c>
      <c r="P37" s="75"/>
      <c r="Q37" s="76"/>
      <c r="R37" s="77">
        <f t="shared" si="4"/>
        <v>0</v>
      </c>
      <c r="S37" s="75"/>
      <c r="T37" s="79"/>
      <c r="U37" s="101">
        <f t="shared" si="5"/>
        <v>62.29759999999999</v>
      </c>
      <c r="V37" s="37"/>
    </row>
    <row r="38" spans="1:21" ht="12.75">
      <c r="A38" s="2">
        <v>36</v>
      </c>
      <c r="B38" s="103" t="s">
        <v>169</v>
      </c>
      <c r="C38" s="74">
        <f>'2008年10月'!R38</f>
        <v>64.8055</v>
      </c>
      <c r="D38" s="75">
        <v>1</v>
      </c>
      <c r="E38" s="76"/>
      <c r="F38" s="77">
        <f t="shared" si="0"/>
        <v>-6.5</v>
      </c>
      <c r="G38" s="75">
        <v>1</v>
      </c>
      <c r="H38" s="76"/>
      <c r="I38" s="77">
        <f t="shared" si="1"/>
        <v>-11.5</v>
      </c>
      <c r="J38" s="75">
        <v>2</v>
      </c>
      <c r="K38" s="76"/>
      <c r="L38" s="77">
        <f t="shared" si="2"/>
        <v>-20</v>
      </c>
      <c r="M38" s="75">
        <v>1</v>
      </c>
      <c r="N38" s="76"/>
      <c r="O38" s="77">
        <f t="shared" si="3"/>
        <v>-4.2105</v>
      </c>
      <c r="P38" s="75">
        <v>2</v>
      </c>
      <c r="Q38" s="76"/>
      <c r="R38" s="77">
        <f t="shared" si="4"/>
        <v>-12.381</v>
      </c>
      <c r="S38" s="80"/>
      <c r="T38" s="79">
        <v>-14</v>
      </c>
      <c r="U38" s="101">
        <f t="shared" si="5"/>
        <v>-3.786000000000005</v>
      </c>
    </row>
    <row r="39" spans="1:21" ht="12.75">
      <c r="A39" s="2">
        <v>37</v>
      </c>
      <c r="B39" s="106" t="s">
        <v>117</v>
      </c>
      <c r="C39" s="88">
        <f>'2008年10月'!R39</f>
        <v>95.7143</v>
      </c>
      <c r="D39" s="89"/>
      <c r="E39" s="90"/>
      <c r="F39" s="91">
        <f t="shared" si="0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95.7143</v>
      </c>
    </row>
    <row r="40" spans="1:21" ht="12.75">
      <c r="A40" s="2">
        <v>38</v>
      </c>
      <c r="B40" s="106" t="s">
        <v>125</v>
      </c>
      <c r="C40" s="88">
        <f>'2008年10月'!R40</f>
        <v>69.0912</v>
      </c>
      <c r="D40" s="89"/>
      <c r="E40" s="90"/>
      <c r="F40" s="91">
        <f t="shared" si="0"/>
        <v>0</v>
      </c>
      <c r="G40" s="89">
        <v>1</v>
      </c>
      <c r="H40" s="90"/>
      <c r="I40" s="91">
        <f>-11.5*G40-10</f>
        <v>-21.5</v>
      </c>
      <c r="J40" s="89">
        <v>1</v>
      </c>
      <c r="K40" s="90"/>
      <c r="L40" s="91">
        <f>-10*J40-10</f>
        <v>-20</v>
      </c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27.5912</v>
      </c>
    </row>
    <row r="41" spans="1:21" ht="12.75">
      <c r="A41" s="2">
        <v>39</v>
      </c>
      <c r="B41" s="106" t="s">
        <v>146</v>
      </c>
      <c r="C41" s="88">
        <f>'2008年10月'!R41</f>
        <v>69.0912</v>
      </c>
      <c r="D41" s="89"/>
      <c r="E41" s="90"/>
      <c r="F41" s="91">
        <f t="shared" si="0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69.0912</v>
      </c>
    </row>
    <row r="42" spans="1:21" ht="12.75">
      <c r="A42" s="2">
        <v>40</v>
      </c>
      <c r="B42" s="104" t="s">
        <v>150</v>
      </c>
      <c r="C42" s="81">
        <f>'2008年10月'!R42</f>
        <v>94.5833</v>
      </c>
      <c r="D42" s="82"/>
      <c r="E42" s="98"/>
      <c r="F42" s="84">
        <f t="shared" si="0"/>
        <v>0</v>
      </c>
      <c r="G42" s="82">
        <v>1</v>
      </c>
      <c r="H42" s="98"/>
      <c r="I42" s="84">
        <f t="shared" si="1"/>
        <v>-11.5</v>
      </c>
      <c r="J42" s="82"/>
      <c r="K42" s="98"/>
      <c r="L42" s="84">
        <f t="shared" si="2"/>
        <v>0</v>
      </c>
      <c r="M42" s="82"/>
      <c r="N42" s="98"/>
      <c r="O42" s="84">
        <f>-4.2105*M42-20</f>
        <v>-20</v>
      </c>
      <c r="P42" s="82"/>
      <c r="Q42" s="98"/>
      <c r="R42" s="84">
        <f t="shared" si="4"/>
        <v>0</v>
      </c>
      <c r="S42" s="82"/>
      <c r="T42" s="87"/>
      <c r="U42" s="101">
        <f t="shared" si="5"/>
        <v>63.083299999999994</v>
      </c>
    </row>
    <row r="43" spans="1:21" ht="12.75">
      <c r="A43" s="2">
        <v>41</v>
      </c>
      <c r="B43" s="104" t="s">
        <v>151</v>
      </c>
      <c r="C43" s="81">
        <f>'2008年10月'!R43</f>
        <v>0</v>
      </c>
      <c r="D43" s="86"/>
      <c r="E43" s="98"/>
      <c r="F43" s="84">
        <f t="shared" si="0"/>
        <v>0</v>
      </c>
      <c r="G43" s="86"/>
      <c r="H43" s="98"/>
      <c r="I43" s="84">
        <f t="shared" si="1"/>
        <v>0</v>
      </c>
      <c r="J43" s="86"/>
      <c r="K43" s="98"/>
      <c r="L43" s="84">
        <f t="shared" si="2"/>
        <v>0</v>
      </c>
      <c r="M43" s="86"/>
      <c r="N43" s="98"/>
      <c r="O43" s="84">
        <f t="shared" si="3"/>
        <v>0</v>
      </c>
      <c r="P43" s="86"/>
      <c r="Q43" s="98"/>
      <c r="R43" s="84">
        <f t="shared" si="4"/>
        <v>0</v>
      </c>
      <c r="S43" s="86"/>
      <c r="T43" s="87"/>
      <c r="U43" s="101">
        <f t="shared" si="5"/>
        <v>0</v>
      </c>
    </row>
    <row r="44" spans="1:21" ht="12.75">
      <c r="A44" s="2">
        <v>42</v>
      </c>
      <c r="B44" s="104" t="s">
        <v>156</v>
      </c>
      <c r="C44" s="81">
        <f>'2008年10月'!R44</f>
        <v>84.9624</v>
      </c>
      <c r="D44" s="86"/>
      <c r="E44" s="98"/>
      <c r="F44" s="84">
        <f t="shared" si="0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84.9624</v>
      </c>
    </row>
    <row r="45" spans="1:21" ht="12.75">
      <c r="A45" s="2">
        <v>43</v>
      </c>
      <c r="B45" s="105" t="s">
        <v>157</v>
      </c>
      <c r="C45" s="60">
        <f>'2008年10月'!R45</f>
        <v>84.9624</v>
      </c>
      <c r="D45" s="66"/>
      <c r="E45" s="99"/>
      <c r="F45" s="63">
        <f t="shared" si="0"/>
        <v>0</v>
      </c>
      <c r="G45" s="66">
        <v>1</v>
      </c>
      <c r="H45" s="99"/>
      <c r="I45" s="63">
        <f>-11.5*G45-10</f>
        <v>-21.5</v>
      </c>
      <c r="J45" s="66">
        <v>1</v>
      </c>
      <c r="K45" s="99"/>
      <c r="L45" s="63">
        <f t="shared" si="2"/>
        <v>-10</v>
      </c>
      <c r="M45" s="66">
        <v>1</v>
      </c>
      <c r="N45" s="99"/>
      <c r="O45" s="63">
        <f t="shared" si="3"/>
        <v>-4.2105</v>
      </c>
      <c r="P45" s="66">
        <v>1</v>
      </c>
      <c r="Q45" s="99"/>
      <c r="R45" s="63">
        <f t="shared" si="4"/>
        <v>-6.1905</v>
      </c>
      <c r="S45" s="66"/>
      <c r="T45" s="65"/>
      <c r="U45" s="101">
        <f t="shared" si="5"/>
        <v>43.061400000000006</v>
      </c>
    </row>
    <row r="46" spans="1:21" ht="12.75">
      <c r="A46" s="2">
        <v>44</v>
      </c>
      <c r="B46" s="109">
        <v>9631</v>
      </c>
      <c r="C46" s="60">
        <f>'2008年10月'!R46</f>
        <v>92.1053</v>
      </c>
      <c r="D46" s="61">
        <v>1</v>
      </c>
      <c r="E46" s="99"/>
      <c r="F46" s="63">
        <f t="shared" si="0"/>
        <v>-6.5</v>
      </c>
      <c r="G46" s="61">
        <v>1</v>
      </c>
      <c r="H46" s="99"/>
      <c r="I46" s="63">
        <f t="shared" si="1"/>
        <v>-11.5</v>
      </c>
      <c r="J46" s="61">
        <v>1</v>
      </c>
      <c r="K46" s="99"/>
      <c r="L46" s="63">
        <f>-10*J46</f>
        <v>-10</v>
      </c>
      <c r="M46" s="61">
        <v>1</v>
      </c>
      <c r="N46" s="99"/>
      <c r="O46" s="63">
        <f t="shared" si="3"/>
        <v>-4.2105</v>
      </c>
      <c r="P46" s="61"/>
      <c r="Q46" s="99"/>
      <c r="R46" s="63">
        <f t="shared" si="4"/>
        <v>0</v>
      </c>
      <c r="S46" s="61"/>
      <c r="T46" s="65"/>
      <c r="U46" s="101">
        <f t="shared" si="5"/>
        <v>59.894800000000004</v>
      </c>
    </row>
    <row r="47" spans="1:21" ht="12.75">
      <c r="A47" s="2">
        <v>45</v>
      </c>
      <c r="B47" s="105" t="s">
        <v>173</v>
      </c>
      <c r="C47" s="60">
        <f>'2008年10月'!R47</f>
        <v>92.8571</v>
      </c>
      <c r="D47" s="66">
        <v>1</v>
      </c>
      <c r="E47" s="99"/>
      <c r="F47" s="63">
        <f t="shared" si="0"/>
        <v>-6.5</v>
      </c>
      <c r="G47" s="66"/>
      <c r="H47" s="99"/>
      <c r="I47" s="63">
        <f t="shared" si="1"/>
        <v>0</v>
      </c>
      <c r="J47" s="66">
        <v>1</v>
      </c>
      <c r="K47" s="99"/>
      <c r="L47" s="63">
        <f>-10*J47-10</f>
        <v>-20</v>
      </c>
      <c r="M47" s="66"/>
      <c r="N47" s="99"/>
      <c r="O47" s="63">
        <f t="shared" si="3"/>
        <v>0</v>
      </c>
      <c r="P47" s="66">
        <v>1</v>
      </c>
      <c r="Q47" s="99"/>
      <c r="R47" s="63">
        <f t="shared" si="4"/>
        <v>-6.1905</v>
      </c>
      <c r="S47" s="66"/>
      <c r="T47" s="65">
        <v>-14</v>
      </c>
      <c r="U47" s="101">
        <f t="shared" si="5"/>
        <v>46.1666</v>
      </c>
    </row>
    <row r="48" spans="1:21" ht="12.75">
      <c r="A48" s="2">
        <v>46</v>
      </c>
      <c r="B48" s="102"/>
      <c r="C48" s="67"/>
      <c r="D48" s="68"/>
      <c r="E48" s="69"/>
      <c r="F48" s="70"/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39"/>
    </row>
    <row r="49" spans="1:21" ht="12.75">
      <c r="A49" s="2">
        <v>47</v>
      </c>
      <c r="B49" s="102"/>
      <c r="C49" s="67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39"/>
    </row>
    <row r="50" spans="1:21" ht="12.75">
      <c r="A50" s="2">
        <v>48</v>
      </c>
      <c r="B50" s="102"/>
      <c r="C50" s="67"/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45</v>
      </c>
      <c r="D54" s="1">
        <f>SUM(D3:D52)</f>
        <v>20</v>
      </c>
      <c r="F54" s="1">
        <f>E65/D54</f>
        <v>6.5</v>
      </c>
      <c r="G54" s="1">
        <f>SUM(G3:G52)</f>
        <v>20</v>
      </c>
      <c r="I54" s="1">
        <f>H65/G54</f>
        <v>11.5</v>
      </c>
      <c r="J54" s="1">
        <f>SUM(J3:J52)</f>
        <v>23</v>
      </c>
      <c r="L54" s="1">
        <f>K65/J54</f>
        <v>10</v>
      </c>
      <c r="M54" s="1">
        <f>SUM(M3:M52)</f>
        <v>19</v>
      </c>
      <c r="O54" s="1">
        <f>N65/M54</f>
        <v>4.2105263157894735</v>
      </c>
      <c r="P54" s="1">
        <f>SUM(P3:P52)</f>
        <v>21</v>
      </c>
      <c r="R54" s="1">
        <f>Q65/P54</f>
        <v>6.190476190476191</v>
      </c>
      <c r="S54" s="1">
        <f>SUM(S3:S53)</f>
        <v>0</v>
      </c>
      <c r="T54" s="36">
        <f>SUM(T3:T50)</f>
        <v>-210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-150</v>
      </c>
      <c r="H56" s="37" t="s">
        <v>118</v>
      </c>
      <c r="I56" s="1">
        <f>SUM(I3:I52)</f>
        <v>-250</v>
      </c>
      <c r="K56" s="37" t="s">
        <v>118</v>
      </c>
      <c r="L56" s="1">
        <f>SUM(L3:L52)</f>
        <v>-250</v>
      </c>
      <c r="N56" s="37" t="s">
        <v>118</v>
      </c>
      <c r="O56" s="1">
        <f>SUM(O3:O52)</f>
        <v>-109.99949999999997</v>
      </c>
      <c r="Q56" s="37" t="s">
        <v>118</v>
      </c>
      <c r="R56" s="1">
        <f>SUM(R3:R52)</f>
        <v>-150.0005</v>
      </c>
      <c r="U56" s="24"/>
    </row>
    <row r="57" spans="2:21" ht="12.75">
      <c r="B57" s="41" t="s">
        <v>60</v>
      </c>
      <c r="C57" s="36">
        <f>SUM(C3:C52)</f>
        <v>2689.9991999999997</v>
      </c>
      <c r="E57" s="41"/>
      <c r="H57" s="41"/>
      <c r="K57" s="41"/>
      <c r="N57" s="41"/>
      <c r="Q57" s="41"/>
      <c r="U57" s="24"/>
    </row>
    <row r="58" spans="19:21" ht="12.75">
      <c r="S58" s="151" t="s">
        <v>8</v>
      </c>
      <c r="T58" s="151"/>
      <c r="U58" s="56">
        <f>SUM(U3:U52)</f>
        <v>2369.9992</v>
      </c>
    </row>
    <row r="59" spans="4:18" ht="12.75" customHeight="1">
      <c r="D59" s="155" t="s">
        <v>170</v>
      </c>
      <c r="E59" s="144"/>
      <c r="F59" s="145"/>
      <c r="G59" s="155" t="s">
        <v>174</v>
      </c>
      <c r="H59" s="144"/>
      <c r="I59" s="145"/>
      <c r="J59" s="155" t="s">
        <v>178</v>
      </c>
      <c r="K59" s="144"/>
      <c r="L59" s="145"/>
      <c r="M59" s="155" t="s">
        <v>183</v>
      </c>
      <c r="N59" s="161"/>
      <c r="O59" s="162"/>
      <c r="P59" s="155" t="s">
        <v>184</v>
      </c>
      <c r="Q59" s="161"/>
      <c r="R59" s="162"/>
    </row>
    <row r="60" spans="4:18" ht="12.75">
      <c r="D60" s="146"/>
      <c r="E60" s="147"/>
      <c r="F60" s="148"/>
      <c r="G60" s="146"/>
      <c r="H60" s="147"/>
      <c r="I60" s="148"/>
      <c r="J60" s="146"/>
      <c r="K60" s="147"/>
      <c r="L60" s="148"/>
      <c r="M60" s="163"/>
      <c r="N60" s="164"/>
      <c r="O60" s="165"/>
      <c r="P60" s="163"/>
      <c r="Q60" s="164"/>
      <c r="R60" s="165"/>
    </row>
    <row r="61" spans="4:18" ht="12.75">
      <c r="D61" s="146"/>
      <c r="E61" s="147"/>
      <c r="F61" s="148"/>
      <c r="G61" s="146"/>
      <c r="H61" s="147"/>
      <c r="I61" s="148"/>
      <c r="J61" s="146"/>
      <c r="K61" s="147"/>
      <c r="L61" s="148"/>
      <c r="M61" s="163"/>
      <c r="N61" s="164"/>
      <c r="O61" s="165"/>
      <c r="P61" s="163"/>
      <c r="Q61" s="164"/>
      <c r="R61" s="165"/>
    </row>
    <row r="62" spans="4:18" ht="12.75">
      <c r="D62" s="146"/>
      <c r="E62" s="147"/>
      <c r="F62" s="148"/>
      <c r="G62" s="146"/>
      <c r="H62" s="147"/>
      <c r="I62" s="148"/>
      <c r="J62" s="146"/>
      <c r="K62" s="147"/>
      <c r="L62" s="148"/>
      <c r="M62" s="163"/>
      <c r="N62" s="164"/>
      <c r="O62" s="165"/>
      <c r="P62" s="163"/>
      <c r="Q62" s="164"/>
      <c r="R62" s="165"/>
    </row>
    <row r="63" spans="4:18" ht="12.75">
      <c r="D63" s="146"/>
      <c r="E63" s="147"/>
      <c r="F63" s="148"/>
      <c r="G63" s="146"/>
      <c r="H63" s="147"/>
      <c r="I63" s="148"/>
      <c r="J63" s="146"/>
      <c r="K63" s="147"/>
      <c r="L63" s="148"/>
      <c r="M63" s="163"/>
      <c r="N63" s="164"/>
      <c r="O63" s="165"/>
      <c r="P63" s="163"/>
      <c r="Q63" s="164"/>
      <c r="R63" s="165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19</v>
      </c>
      <c r="E65" s="50">
        <f>150-E83</f>
        <v>130</v>
      </c>
      <c r="F65" s="51"/>
      <c r="G65" s="52" t="s">
        <v>19</v>
      </c>
      <c r="H65" s="50">
        <f>250-H83</f>
        <v>230</v>
      </c>
      <c r="I65" s="51"/>
      <c r="J65" s="52" t="s">
        <v>19</v>
      </c>
      <c r="K65" s="50">
        <f>150+100-K83</f>
        <v>230</v>
      </c>
      <c r="L65" s="51"/>
      <c r="M65" s="52" t="s">
        <v>161</v>
      </c>
      <c r="N65" s="50">
        <f>150-N83-N90-40-20</f>
        <v>80</v>
      </c>
      <c r="O65" s="51"/>
      <c r="P65" s="52" t="s">
        <v>161</v>
      </c>
      <c r="Q65" s="50">
        <f>150-Q83-Q90</f>
        <v>130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3"/>
      <c r="E67" s="54"/>
      <c r="F67" s="55"/>
      <c r="G67" s="53"/>
      <c r="H67" s="54"/>
      <c r="I67" s="55"/>
      <c r="J67" s="53"/>
      <c r="K67" s="54"/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166" t="s">
        <v>182</v>
      </c>
      <c r="N69" s="167"/>
      <c r="O69" s="167"/>
      <c r="P69" s="166"/>
      <c r="Q69" s="167"/>
      <c r="R69" s="167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166"/>
      <c r="N70" s="167"/>
      <c r="O70" s="167"/>
      <c r="P70" s="166"/>
      <c r="Q70" s="167"/>
      <c r="R70" s="167"/>
    </row>
    <row r="71" spans="4:18" ht="12.75">
      <c r="D71" s="37"/>
      <c r="G71" s="37"/>
      <c r="J71" s="37"/>
      <c r="M71" s="167"/>
      <c r="N71" s="167"/>
      <c r="O71" s="167"/>
      <c r="P71" s="167"/>
      <c r="Q71" s="167"/>
      <c r="R71" s="167"/>
    </row>
    <row r="72" spans="13:18" ht="12.75">
      <c r="M72" s="167"/>
      <c r="N72" s="167"/>
      <c r="O72" s="167"/>
      <c r="P72" s="167"/>
      <c r="Q72" s="167"/>
      <c r="R72" s="167"/>
    </row>
    <row r="73" spans="4:18" ht="12.75" customHeight="1">
      <c r="D73" s="149" t="s">
        <v>171</v>
      </c>
      <c r="E73" s="150"/>
      <c r="F73" s="150"/>
      <c r="G73" s="149"/>
      <c r="H73" s="150"/>
      <c r="I73" s="150"/>
      <c r="J73" s="149"/>
      <c r="K73" s="150"/>
      <c r="L73" s="150"/>
      <c r="M73" s="149" t="s">
        <v>180</v>
      </c>
      <c r="N73" s="149"/>
      <c r="O73" s="149"/>
      <c r="P73" s="160" t="s">
        <v>185</v>
      </c>
      <c r="Q73" s="160"/>
      <c r="R73" s="160"/>
    </row>
    <row r="74" spans="4:18" ht="12.75">
      <c r="D74" s="150"/>
      <c r="E74" s="150"/>
      <c r="F74" s="150"/>
      <c r="G74" s="150"/>
      <c r="H74" s="150"/>
      <c r="I74" s="150"/>
      <c r="J74" s="150"/>
      <c r="K74" s="150"/>
      <c r="L74" s="150"/>
      <c r="M74" s="149"/>
      <c r="N74" s="149"/>
      <c r="O74" s="149"/>
      <c r="P74" s="160"/>
      <c r="Q74" s="160"/>
      <c r="R74" s="160"/>
    </row>
    <row r="75" spans="4:18" ht="12.75">
      <c r="D75" s="150"/>
      <c r="E75" s="150"/>
      <c r="F75" s="150"/>
      <c r="G75" s="150"/>
      <c r="H75" s="150"/>
      <c r="I75" s="150"/>
      <c r="J75" s="150"/>
      <c r="K75" s="150"/>
      <c r="L75" s="150"/>
      <c r="M75" s="149"/>
      <c r="N75" s="149"/>
      <c r="O75" s="149"/>
      <c r="P75" s="160"/>
      <c r="Q75" s="160"/>
      <c r="R75" s="160"/>
    </row>
    <row r="76" spans="4:18" ht="12.75">
      <c r="D76" s="149"/>
      <c r="E76" s="150"/>
      <c r="F76" s="150"/>
      <c r="G76" s="149"/>
      <c r="H76" s="150"/>
      <c r="I76" s="150"/>
      <c r="J76" s="149"/>
      <c r="K76" s="150"/>
      <c r="L76" s="150"/>
      <c r="M76" s="160" t="s">
        <v>181</v>
      </c>
      <c r="N76" s="160"/>
      <c r="O76" s="160"/>
      <c r="P76" s="160" t="s">
        <v>186</v>
      </c>
      <c r="Q76" s="160"/>
      <c r="R76" s="160"/>
    </row>
    <row r="77" spans="4:18" ht="12.75">
      <c r="D77" s="150"/>
      <c r="E77" s="150"/>
      <c r="F77" s="150"/>
      <c r="G77" s="150"/>
      <c r="H77" s="150"/>
      <c r="I77" s="150"/>
      <c r="J77" s="150"/>
      <c r="K77" s="150"/>
      <c r="L77" s="150"/>
      <c r="M77" s="160"/>
      <c r="N77" s="160"/>
      <c r="O77" s="160"/>
      <c r="P77" s="160"/>
      <c r="Q77" s="160"/>
      <c r="R77" s="160"/>
    </row>
    <row r="78" spans="4:18" ht="21.75" customHeight="1">
      <c r="D78" s="150"/>
      <c r="E78" s="150"/>
      <c r="F78" s="150"/>
      <c r="G78" s="150"/>
      <c r="H78" s="150"/>
      <c r="I78" s="150"/>
      <c r="J78" s="150"/>
      <c r="K78" s="150"/>
      <c r="L78" s="150"/>
      <c r="M78" s="160"/>
      <c r="N78" s="160"/>
      <c r="O78" s="160"/>
      <c r="P78" s="160"/>
      <c r="Q78" s="160"/>
      <c r="R78" s="160"/>
    </row>
    <row r="79" spans="4:17" ht="12.75">
      <c r="D79" s="153" t="s">
        <v>81</v>
      </c>
      <c r="E79" s="154"/>
      <c r="G79" s="153" t="s">
        <v>81</v>
      </c>
      <c r="H79" s="154"/>
      <c r="J79" s="153" t="s">
        <v>81</v>
      </c>
      <c r="K79" s="154"/>
      <c r="M79" s="153" t="s">
        <v>81</v>
      </c>
      <c r="N79" s="153"/>
      <c r="P79" s="153" t="s">
        <v>81</v>
      </c>
      <c r="Q79" s="153"/>
    </row>
    <row r="80" spans="4:16" ht="12.75" customHeight="1">
      <c r="D80" s="37" t="s">
        <v>109</v>
      </c>
      <c r="E80" s="1">
        <v>10</v>
      </c>
      <c r="G80" s="37" t="s">
        <v>175</v>
      </c>
      <c r="H80" s="1">
        <v>10</v>
      </c>
      <c r="J80" s="37" t="s">
        <v>175</v>
      </c>
      <c r="K80" s="1">
        <v>10</v>
      </c>
      <c r="M80" s="37"/>
      <c r="P80" s="37"/>
    </row>
    <row r="81" spans="4:16" ht="12.75" customHeight="1">
      <c r="D81" s="107" t="s">
        <v>56</v>
      </c>
      <c r="E81" s="1">
        <v>10</v>
      </c>
      <c r="G81" s="107" t="s">
        <v>176</v>
      </c>
      <c r="H81" s="1">
        <v>10</v>
      </c>
      <c r="J81" s="107" t="s">
        <v>179</v>
      </c>
      <c r="K81" s="1">
        <v>10</v>
      </c>
      <c r="M81" s="107"/>
      <c r="P81" s="107"/>
    </row>
    <row r="82" spans="4:16" ht="12.75">
      <c r="D82" s="107"/>
      <c r="G82" s="107"/>
      <c r="J82" s="107"/>
      <c r="M82" s="107"/>
      <c r="P82" s="107"/>
    </row>
    <row r="83" spans="5:17" ht="12.75">
      <c r="E83" s="1">
        <f>SUM(E80:E82)</f>
        <v>20</v>
      </c>
      <c r="H83" s="1">
        <f>SUM(H80:H82)</f>
        <v>20</v>
      </c>
      <c r="K83" s="1">
        <f>SUM(K80:K82)</f>
        <v>20</v>
      </c>
      <c r="N83" s="1">
        <f>SUM(N80:N82)</f>
        <v>0</v>
      </c>
      <c r="Q83" s="1">
        <f>SUM(Q80:Q82)</f>
        <v>0</v>
      </c>
    </row>
    <row r="86" spans="4:17" ht="12.75" customHeight="1">
      <c r="D86" s="153" t="s">
        <v>82</v>
      </c>
      <c r="E86" s="154"/>
      <c r="G86" s="153" t="s">
        <v>82</v>
      </c>
      <c r="H86" s="154"/>
      <c r="J86" s="153" t="s">
        <v>82</v>
      </c>
      <c r="K86" s="154"/>
      <c r="M86" s="153" t="s">
        <v>82</v>
      </c>
      <c r="N86" s="153"/>
      <c r="P86" s="153" t="s">
        <v>82</v>
      </c>
      <c r="Q86" s="153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155</v>
      </c>
      <c r="H88" s="37" t="s">
        <v>155</v>
      </c>
      <c r="K88" s="37" t="s">
        <v>155</v>
      </c>
      <c r="M88" s="37" t="s">
        <v>27</v>
      </c>
      <c r="N88" s="37">
        <v>10</v>
      </c>
      <c r="P88" s="37" t="s">
        <v>187</v>
      </c>
      <c r="Q88" s="37">
        <v>10</v>
      </c>
    </row>
    <row r="89" spans="16:17" ht="12.75">
      <c r="P89" s="1" t="s">
        <v>188</v>
      </c>
      <c r="Q89" s="1">
        <v>10</v>
      </c>
    </row>
    <row r="90" spans="14:17" ht="12.75">
      <c r="N90" s="1">
        <f>SUM(N88:N89)</f>
        <v>10</v>
      </c>
      <c r="Q90" s="1">
        <f>SUM(Q88:Q89)</f>
        <v>20</v>
      </c>
    </row>
    <row r="93" spans="4:18" ht="12.75" customHeight="1">
      <c r="D93" s="152" t="s">
        <v>107</v>
      </c>
      <c r="E93" s="152"/>
      <c r="F93" s="152"/>
      <c r="G93" s="152" t="s">
        <v>158</v>
      </c>
      <c r="H93" s="152"/>
      <c r="I93" s="152"/>
      <c r="J93" s="152" t="s">
        <v>158</v>
      </c>
      <c r="K93" s="152"/>
      <c r="L93" s="152"/>
      <c r="M93" s="152" t="s">
        <v>158</v>
      </c>
      <c r="N93" s="152"/>
      <c r="O93" s="152"/>
      <c r="P93" s="152" t="s">
        <v>158</v>
      </c>
      <c r="Q93" s="152"/>
      <c r="R93" s="152"/>
    </row>
    <row r="94" spans="4:18" ht="12.75"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</row>
    <row r="95" spans="4:18" ht="12.75"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7:18" ht="12.75">
      <c r="G96" s="37" t="s">
        <v>175</v>
      </c>
      <c r="H96" s="59"/>
      <c r="I96" s="59"/>
      <c r="J96" s="37" t="s">
        <v>175</v>
      </c>
      <c r="K96" s="59"/>
      <c r="L96" s="59"/>
      <c r="M96" s="37" t="s">
        <v>172</v>
      </c>
      <c r="N96" s="59"/>
      <c r="O96" s="59"/>
      <c r="P96" s="37" t="s">
        <v>172</v>
      </c>
      <c r="Q96" s="59"/>
      <c r="R96" s="59"/>
    </row>
    <row r="97" spans="7:18" ht="12.75">
      <c r="G97" s="107" t="s">
        <v>176</v>
      </c>
      <c r="H97" s="59"/>
      <c r="I97" s="59"/>
      <c r="J97" s="107"/>
      <c r="K97" s="59"/>
      <c r="L97" s="59"/>
      <c r="M97" s="107"/>
      <c r="N97" s="59"/>
      <c r="O97" s="59"/>
      <c r="P97" s="107"/>
      <c r="Q97" s="59"/>
      <c r="R97" s="59"/>
    </row>
    <row r="98" spans="4:18" ht="12.75">
      <c r="D98" s="156"/>
      <c r="E98" s="154"/>
      <c r="F98" s="154"/>
      <c r="G98" s="156" t="s">
        <v>177</v>
      </c>
      <c r="H98" s="154"/>
      <c r="I98" s="154"/>
      <c r="J98" s="156" t="s">
        <v>177</v>
      </c>
      <c r="K98" s="154"/>
      <c r="L98" s="154"/>
      <c r="M98" s="156" t="s">
        <v>177</v>
      </c>
      <c r="N98" s="156"/>
      <c r="O98" s="156"/>
      <c r="P98" s="156" t="s">
        <v>177</v>
      </c>
      <c r="Q98" s="156"/>
      <c r="R98" s="156"/>
    </row>
    <row r="99" spans="4:18" ht="12.75">
      <c r="D99" s="154"/>
      <c r="E99" s="154"/>
      <c r="F99" s="154"/>
      <c r="G99" s="154"/>
      <c r="H99" s="154"/>
      <c r="I99" s="154"/>
      <c r="J99" s="154"/>
      <c r="K99" s="154"/>
      <c r="L99" s="154"/>
      <c r="M99" s="156"/>
      <c r="N99" s="156"/>
      <c r="O99" s="156"/>
      <c r="P99" s="156"/>
      <c r="Q99" s="156"/>
      <c r="R99" s="156"/>
    </row>
    <row r="100" spans="13:18" ht="12.75">
      <c r="M100" s="156"/>
      <c r="N100" s="154"/>
      <c r="O100" s="154"/>
      <c r="P100" s="156"/>
      <c r="Q100" s="154"/>
      <c r="R100" s="154"/>
    </row>
    <row r="101" spans="13:18" ht="12.75">
      <c r="M101" s="154"/>
      <c r="N101" s="154"/>
      <c r="O101" s="154"/>
      <c r="P101" s="154"/>
      <c r="Q101" s="154"/>
      <c r="R101" s="154"/>
    </row>
  </sheetData>
  <sheetProtection/>
  <mergeCells count="41">
    <mergeCell ref="D1:F1"/>
    <mergeCell ref="D59:F63"/>
    <mergeCell ref="D73:F75"/>
    <mergeCell ref="D79:E79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M93:O95"/>
    <mergeCell ref="G86:H86"/>
    <mergeCell ref="S58:T58"/>
    <mergeCell ref="J59:L63"/>
    <mergeCell ref="J73:L75"/>
    <mergeCell ref="M59:O63"/>
    <mergeCell ref="M73:O75"/>
    <mergeCell ref="M69:O72"/>
    <mergeCell ref="P59:R63"/>
    <mergeCell ref="P69:R72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P93:R95"/>
    <mergeCell ref="P98:R99"/>
    <mergeCell ref="P100:R101"/>
    <mergeCell ref="P73:R75"/>
    <mergeCell ref="P76:R78"/>
    <mergeCell ref="P79:Q79"/>
    <mergeCell ref="P86:Q86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25">
      <selection activeCell="D31" sqref="D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39788</v>
      </c>
      <c r="E1" s="158"/>
      <c r="F1" s="159"/>
      <c r="G1" s="18"/>
      <c r="H1" s="32">
        <v>39795</v>
      </c>
      <c r="I1" s="19"/>
      <c r="J1" s="44"/>
      <c r="K1" s="32">
        <v>39802</v>
      </c>
      <c r="L1" s="45"/>
      <c r="M1" s="18"/>
      <c r="N1" s="32">
        <v>39809</v>
      </c>
      <c r="O1" s="19"/>
      <c r="P1" s="18"/>
      <c r="Q1" s="32">
        <v>39781</v>
      </c>
      <c r="R1" s="19"/>
      <c r="S1" s="18"/>
      <c r="T1" s="111" t="s">
        <v>190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'2008年11月'!U3</f>
        <v>29.66109999999999</v>
      </c>
      <c r="D3" s="68">
        <v>1</v>
      </c>
      <c r="E3" s="69"/>
      <c r="F3" s="70">
        <f>-7.5*D3</f>
        <v>-7.5</v>
      </c>
      <c r="G3" s="68">
        <v>1</v>
      </c>
      <c r="H3" s="69"/>
      <c r="I3" s="70">
        <f>-7.222*G3</f>
        <v>-7.222</v>
      </c>
      <c r="J3" s="68">
        <v>1</v>
      </c>
      <c r="K3" s="69">
        <v>100</v>
      </c>
      <c r="L3" s="70">
        <f>-4.7826*J3</f>
        <v>-4.7826</v>
      </c>
      <c r="M3" s="68">
        <v>1</v>
      </c>
      <c r="N3" s="69"/>
      <c r="O3" s="70">
        <f>-6.5*M3</f>
        <v>-6.5</v>
      </c>
      <c r="P3" s="68"/>
      <c r="Q3" s="69"/>
      <c r="R3" s="70"/>
      <c r="S3" s="68"/>
      <c r="T3" s="72"/>
      <c r="U3" s="101">
        <f aca="true" t="shared" si="0" ref="U3:U49">C3+E3+F3+H3+I3+K3+L3+N3+O3+T3+Q3+R3</f>
        <v>103.6565</v>
      </c>
    </row>
    <row r="4" spans="1:21" ht="12.75">
      <c r="A4" s="2">
        <v>2</v>
      </c>
      <c r="B4" s="100" t="s">
        <v>3</v>
      </c>
      <c r="C4" s="67">
        <f>'2008年11月'!U4</f>
        <v>61.32000000000001</v>
      </c>
      <c r="D4" s="68">
        <v>1</v>
      </c>
      <c r="E4" s="69"/>
      <c r="F4" s="70">
        <f aca="true" t="shared" si="1" ref="F4:F48">-7.5*D4</f>
        <v>-7.5</v>
      </c>
      <c r="G4" s="68"/>
      <c r="H4" s="69"/>
      <c r="I4" s="70">
        <f aca="true" t="shared" si="2" ref="I4:I48">-7.222*G4</f>
        <v>0</v>
      </c>
      <c r="J4" s="68">
        <v>1</v>
      </c>
      <c r="K4" s="69"/>
      <c r="L4" s="70">
        <f aca="true" t="shared" si="3" ref="L4:L46">-4.7826*J4</f>
        <v>-4.7826</v>
      </c>
      <c r="M4" s="68"/>
      <c r="N4" s="69"/>
      <c r="O4" s="70">
        <f aca="true" t="shared" si="4" ref="O4:O49">-6.5*M4</f>
        <v>0</v>
      </c>
      <c r="P4" s="68"/>
      <c r="Q4" s="69"/>
      <c r="R4" s="70"/>
      <c r="S4" s="73"/>
      <c r="T4" s="72"/>
      <c r="U4" s="101">
        <f t="shared" si="0"/>
        <v>49.037400000000005</v>
      </c>
    </row>
    <row r="5" spans="1:21" ht="12.75">
      <c r="A5" s="2">
        <v>3</v>
      </c>
      <c r="B5" s="102" t="s">
        <v>191</v>
      </c>
      <c r="C5" s="67">
        <f>'2008年11月'!U5</f>
        <v>102.94609999999999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102.94609999999999</v>
      </c>
    </row>
    <row r="6" spans="1:23" ht="12.75">
      <c r="A6" s="2">
        <v>4</v>
      </c>
      <c r="B6" s="103" t="s">
        <v>192</v>
      </c>
      <c r="C6" s="74">
        <f>'2008年11月'!U6</f>
        <v>11.3458</v>
      </c>
      <c r="D6" s="80"/>
      <c r="E6" s="76"/>
      <c r="F6" s="77">
        <f t="shared" si="1"/>
        <v>0</v>
      </c>
      <c r="G6" s="80">
        <v>1</v>
      </c>
      <c r="H6" s="76">
        <v>100</v>
      </c>
      <c r="I6" s="77">
        <f t="shared" si="2"/>
        <v>-7.222</v>
      </c>
      <c r="J6" s="80">
        <v>1</v>
      </c>
      <c r="K6" s="76"/>
      <c r="L6" s="77">
        <f t="shared" si="3"/>
        <v>-4.7826</v>
      </c>
      <c r="M6" s="80"/>
      <c r="N6" s="76"/>
      <c r="O6" s="77">
        <f t="shared" si="4"/>
        <v>0</v>
      </c>
      <c r="P6" s="80"/>
      <c r="Q6" s="76"/>
      <c r="R6" s="77"/>
      <c r="S6" s="80"/>
      <c r="T6" s="79">
        <v>-14</v>
      </c>
      <c r="U6" s="101">
        <f t="shared" si="0"/>
        <v>85.3412</v>
      </c>
      <c r="W6" s="37"/>
    </row>
    <row r="7" spans="1:21" ht="12.75">
      <c r="A7" s="2">
        <v>5</v>
      </c>
      <c r="B7" s="103" t="s">
        <v>193</v>
      </c>
      <c r="C7" s="74">
        <f>'2008年11月'!U7</f>
        <v>25.300500000000007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25.300500000000007</v>
      </c>
    </row>
    <row r="8" spans="1:21" ht="12.75">
      <c r="A8" s="2">
        <v>6</v>
      </c>
      <c r="B8" s="103" t="s">
        <v>194</v>
      </c>
      <c r="C8" s="74">
        <f>'2008年11月'!U8</f>
        <v>96.9278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96.9278</v>
      </c>
    </row>
    <row r="9" spans="1:21" ht="12.75">
      <c r="A9" s="2">
        <v>7</v>
      </c>
      <c r="B9" s="106" t="s">
        <v>195</v>
      </c>
      <c r="C9" s="88">
        <f>'2008年11月'!U9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63.679</v>
      </c>
    </row>
    <row r="10" spans="1:21" ht="12.75">
      <c r="A10" s="2">
        <v>8</v>
      </c>
      <c r="B10" s="106" t="s">
        <v>196</v>
      </c>
      <c r="C10" s="88">
        <f>'2008年11月'!U10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50.14110000000001</v>
      </c>
    </row>
    <row r="11" spans="1:21" ht="12.75">
      <c r="A11" s="2">
        <v>9</v>
      </c>
      <c r="B11" s="106" t="s">
        <v>197</v>
      </c>
      <c r="C11" s="88">
        <f>'2008年11月'!U11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198</v>
      </c>
      <c r="C12" s="81">
        <f>'2008年11月'!U12</f>
        <v>101.33840000000001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101.33840000000001</v>
      </c>
    </row>
    <row r="13" spans="1:21" ht="12.75">
      <c r="A13" s="2">
        <v>11</v>
      </c>
      <c r="B13" s="104" t="s">
        <v>199</v>
      </c>
      <c r="C13" s="81">
        <f>'2008年11月'!U13</f>
        <v>21.22460000000001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21.22460000000001</v>
      </c>
    </row>
    <row r="14" spans="1:21" ht="12.75">
      <c r="A14" s="2">
        <v>12</v>
      </c>
      <c r="B14" s="104" t="s">
        <v>200</v>
      </c>
      <c r="C14" s="81">
        <f>'2008年11月'!U14</f>
        <v>34.65440000000001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-7.222</v>
      </c>
      <c r="J14" s="82">
        <v>1</v>
      </c>
      <c r="K14" s="83"/>
      <c r="L14" s="84">
        <f t="shared" si="3"/>
        <v>-4.7826</v>
      </c>
      <c r="M14" s="82">
        <v>1</v>
      </c>
      <c r="N14" s="83"/>
      <c r="O14" s="84">
        <f t="shared" si="4"/>
        <v>-6.5</v>
      </c>
      <c r="P14" s="82"/>
      <c r="Q14" s="83"/>
      <c r="R14" s="84"/>
      <c r="S14" s="82"/>
      <c r="T14" s="87"/>
      <c r="U14" s="101">
        <f t="shared" si="0"/>
        <v>16.149800000000006</v>
      </c>
    </row>
    <row r="15" spans="1:21" ht="12.75">
      <c r="A15" s="2">
        <v>13</v>
      </c>
      <c r="B15" s="105" t="s">
        <v>201</v>
      </c>
      <c r="C15" s="60">
        <f>'2008年11月'!U15</f>
        <v>53.80800000000001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-7.222</v>
      </c>
      <c r="J15" s="61">
        <v>1</v>
      </c>
      <c r="K15" s="62"/>
      <c r="L15" s="63">
        <f t="shared" si="3"/>
        <v>-4.7826</v>
      </c>
      <c r="M15" s="61">
        <v>1</v>
      </c>
      <c r="N15" s="62">
        <v>100</v>
      </c>
      <c r="O15" s="63">
        <f t="shared" si="4"/>
        <v>-6.5</v>
      </c>
      <c r="P15" s="61"/>
      <c r="Q15" s="62"/>
      <c r="R15" s="63"/>
      <c r="S15" s="66"/>
      <c r="T15" s="65">
        <v>-14</v>
      </c>
      <c r="U15" s="101">
        <f t="shared" si="0"/>
        <v>121.30340000000001</v>
      </c>
    </row>
    <row r="16" spans="1:21" ht="12.75">
      <c r="A16" s="2">
        <v>14</v>
      </c>
      <c r="B16" s="105" t="s">
        <v>202</v>
      </c>
      <c r="C16" s="60">
        <f>'2008年11月'!U16</f>
        <v>36.917500000000004</v>
      </c>
      <c r="D16" s="61">
        <v>1</v>
      </c>
      <c r="E16" s="62"/>
      <c r="F16" s="63">
        <f t="shared" si="1"/>
        <v>-7.5</v>
      </c>
      <c r="G16" s="61">
        <v>1</v>
      </c>
      <c r="H16" s="62"/>
      <c r="I16" s="63">
        <f t="shared" si="2"/>
        <v>-7.222</v>
      </c>
      <c r="J16" s="61">
        <v>1</v>
      </c>
      <c r="K16" s="62"/>
      <c r="L16" s="63">
        <f t="shared" si="3"/>
        <v>-4.7826</v>
      </c>
      <c r="M16" s="61">
        <v>1</v>
      </c>
      <c r="N16" s="62">
        <v>100</v>
      </c>
      <c r="O16" s="63">
        <f>-6.5*M16-10</f>
        <v>-16.5</v>
      </c>
      <c r="P16" s="61"/>
      <c r="Q16" s="62"/>
      <c r="R16" s="63"/>
      <c r="S16" s="61"/>
      <c r="T16" s="65"/>
      <c r="U16" s="101">
        <f t="shared" si="0"/>
        <v>100.91290000000001</v>
      </c>
    </row>
    <row r="17" spans="1:21" ht="12.75">
      <c r="A17" s="2">
        <v>15</v>
      </c>
      <c r="B17" s="105" t="s">
        <v>203</v>
      </c>
      <c r="C17" s="60">
        <f>'2008年11月'!U17</f>
        <v>20.71940000000001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20.71940000000001</v>
      </c>
    </row>
    <row r="18" spans="1:21" ht="12.75">
      <c r="A18" s="2">
        <v>16</v>
      </c>
      <c r="B18" s="102" t="s">
        <v>204</v>
      </c>
      <c r="C18" s="67">
        <f>'2008年11月'!U18</f>
        <v>85.77210000000001</v>
      </c>
      <c r="D18" s="68">
        <v>1</v>
      </c>
      <c r="E18" s="69"/>
      <c r="F18" s="70">
        <f t="shared" si="1"/>
        <v>-7.5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-6.5</v>
      </c>
      <c r="P18" s="68"/>
      <c r="Q18" s="69"/>
      <c r="R18" s="70"/>
      <c r="S18" s="68"/>
      <c r="T18" s="72"/>
      <c r="U18" s="101">
        <f t="shared" si="0"/>
        <v>71.77210000000001</v>
      </c>
    </row>
    <row r="19" spans="1:23" ht="12.75">
      <c r="A19" s="2">
        <v>17</v>
      </c>
      <c r="B19" s="102" t="s">
        <v>205</v>
      </c>
      <c r="C19" s="67">
        <f>'2008年11月'!U19</f>
        <v>51.7748</v>
      </c>
      <c r="D19" s="68">
        <v>1</v>
      </c>
      <c r="E19" s="69"/>
      <c r="F19" s="70">
        <f t="shared" si="1"/>
        <v>-7.5</v>
      </c>
      <c r="G19" s="68"/>
      <c r="H19" s="69"/>
      <c r="I19" s="70">
        <f t="shared" si="2"/>
        <v>0</v>
      </c>
      <c r="J19" s="68">
        <v>1</v>
      </c>
      <c r="K19" s="69"/>
      <c r="L19" s="70">
        <f>-4.7826*J19-10</f>
        <v>-14.7826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29.492199999999997</v>
      </c>
      <c r="W19" s="37"/>
    </row>
    <row r="20" spans="1:21" ht="12.75">
      <c r="A20" s="2">
        <v>18</v>
      </c>
      <c r="B20" s="102" t="s">
        <v>206</v>
      </c>
      <c r="C20" s="67">
        <f>'2008年11月'!U20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70.158</v>
      </c>
    </row>
    <row r="21" spans="1:21" ht="12.75">
      <c r="A21" s="2">
        <v>19</v>
      </c>
      <c r="B21" s="103" t="s">
        <v>207</v>
      </c>
      <c r="C21" s="74">
        <f>'2008年11月'!U21</f>
        <v>34.523900000000005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34.523900000000005</v>
      </c>
    </row>
    <row r="22" spans="1:21" ht="12.75">
      <c r="A22" s="2">
        <v>20</v>
      </c>
      <c r="B22" s="103" t="s">
        <v>208</v>
      </c>
      <c r="C22" s="74">
        <f>'2008年11月'!U22</f>
        <v>65.34510000000002</v>
      </c>
      <c r="D22" s="75">
        <v>1</v>
      </c>
      <c r="E22" s="76"/>
      <c r="F22" s="77">
        <f t="shared" si="1"/>
        <v>-7.5</v>
      </c>
      <c r="G22" s="75">
        <v>1</v>
      </c>
      <c r="H22" s="76"/>
      <c r="I22" s="77">
        <f t="shared" si="2"/>
        <v>-7.222</v>
      </c>
      <c r="J22" s="75">
        <v>1</v>
      </c>
      <c r="K22" s="76"/>
      <c r="L22" s="77">
        <f t="shared" si="3"/>
        <v>-4.7826</v>
      </c>
      <c r="M22" s="75">
        <v>1</v>
      </c>
      <c r="N22" s="76"/>
      <c r="O22" s="77">
        <f t="shared" si="4"/>
        <v>-6.5</v>
      </c>
      <c r="P22" s="75"/>
      <c r="Q22" s="76"/>
      <c r="R22" s="77"/>
      <c r="S22" s="75"/>
      <c r="T22" s="79"/>
      <c r="U22" s="101">
        <f t="shared" si="0"/>
        <v>39.34050000000001</v>
      </c>
    </row>
    <row r="23" spans="1:21" ht="12.75">
      <c r="A23" s="2">
        <v>21</v>
      </c>
      <c r="B23" s="103" t="s">
        <v>209</v>
      </c>
      <c r="C23" s="74">
        <f>'2008年11月'!U23</f>
        <v>76.955</v>
      </c>
      <c r="D23" s="75"/>
      <c r="E23" s="76"/>
      <c r="F23" s="77">
        <f t="shared" si="1"/>
        <v>0</v>
      </c>
      <c r="G23" s="75">
        <v>1</v>
      </c>
      <c r="H23" s="76"/>
      <c r="I23" s="77">
        <f t="shared" si="2"/>
        <v>-7.222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-6.5</v>
      </c>
      <c r="P23" s="75"/>
      <c r="Q23" s="76"/>
      <c r="R23" s="77"/>
      <c r="S23" s="80"/>
      <c r="T23" s="79">
        <v>-14</v>
      </c>
      <c r="U23" s="101">
        <f t="shared" si="0"/>
        <v>49.233000000000004</v>
      </c>
    </row>
    <row r="24" spans="1:21" ht="12.75">
      <c r="A24" s="2">
        <v>22</v>
      </c>
      <c r="B24" s="106" t="s">
        <v>210</v>
      </c>
      <c r="C24" s="88">
        <f>'2008年11月'!U24</f>
        <v>22.1289</v>
      </c>
      <c r="D24" s="89">
        <v>1</v>
      </c>
      <c r="E24" s="90"/>
      <c r="F24" s="91">
        <f t="shared" si="1"/>
        <v>-7.5</v>
      </c>
      <c r="G24" s="89"/>
      <c r="H24" s="90"/>
      <c r="I24" s="91">
        <f t="shared" si="2"/>
        <v>0</v>
      </c>
      <c r="J24" s="89">
        <v>1</v>
      </c>
      <c r="K24" s="90">
        <v>100</v>
      </c>
      <c r="L24" s="91">
        <f>-4.7826*J24-10</f>
        <v>-14.7826</v>
      </c>
      <c r="M24" s="89">
        <v>1</v>
      </c>
      <c r="N24" s="90"/>
      <c r="O24" s="91">
        <f t="shared" si="4"/>
        <v>-6.5</v>
      </c>
      <c r="P24" s="89"/>
      <c r="Q24" s="90"/>
      <c r="R24" s="91"/>
      <c r="S24" s="89"/>
      <c r="T24" s="93"/>
      <c r="U24" s="101">
        <f t="shared" si="0"/>
        <v>93.3463</v>
      </c>
    </row>
    <row r="25" spans="1:21" ht="12.75">
      <c r="A25" s="2">
        <v>23</v>
      </c>
      <c r="B25" s="106" t="s">
        <v>211</v>
      </c>
      <c r="C25" s="88">
        <f>'2008年11月'!U25</f>
        <v>81.2163</v>
      </c>
      <c r="D25" s="89">
        <v>1</v>
      </c>
      <c r="E25" s="90"/>
      <c r="F25" s="91">
        <f t="shared" si="1"/>
        <v>-7.5</v>
      </c>
      <c r="G25" s="89">
        <v>1</v>
      </c>
      <c r="H25" s="90"/>
      <c r="I25" s="91">
        <f t="shared" si="2"/>
        <v>-7.222</v>
      </c>
      <c r="J25" s="89">
        <v>1</v>
      </c>
      <c r="K25" s="90"/>
      <c r="L25" s="91">
        <f t="shared" si="3"/>
        <v>-4.7826</v>
      </c>
      <c r="M25" s="89">
        <v>1</v>
      </c>
      <c r="N25" s="90"/>
      <c r="O25" s="91">
        <f t="shared" si="4"/>
        <v>-6.5</v>
      </c>
      <c r="P25" s="89"/>
      <c r="Q25" s="90"/>
      <c r="R25" s="91"/>
      <c r="S25" s="89"/>
      <c r="T25" s="93"/>
      <c r="U25" s="101">
        <f t="shared" si="0"/>
        <v>55.21170000000001</v>
      </c>
    </row>
    <row r="26" spans="1:21" ht="12.75">
      <c r="A26" s="2">
        <v>24</v>
      </c>
      <c r="B26" s="106" t="s">
        <v>212</v>
      </c>
      <c r="C26" s="88">
        <f>'2008年11月'!U26</f>
        <v>62.875600000000006</v>
      </c>
      <c r="D26" s="89">
        <v>1</v>
      </c>
      <c r="E26" s="90"/>
      <c r="F26" s="91">
        <f t="shared" si="1"/>
        <v>-7.5</v>
      </c>
      <c r="G26" s="89">
        <v>1</v>
      </c>
      <c r="H26" s="90"/>
      <c r="I26" s="91">
        <f t="shared" si="2"/>
        <v>-7.222</v>
      </c>
      <c r="J26" s="89">
        <v>1</v>
      </c>
      <c r="K26" s="90"/>
      <c r="L26" s="91">
        <f t="shared" si="3"/>
        <v>-4.7826</v>
      </c>
      <c r="M26" s="89">
        <v>1</v>
      </c>
      <c r="N26" s="90"/>
      <c r="O26" s="91">
        <f t="shared" si="4"/>
        <v>-6.5</v>
      </c>
      <c r="P26" s="89"/>
      <c r="Q26" s="90"/>
      <c r="R26" s="91"/>
      <c r="S26" s="94"/>
      <c r="T26" s="93"/>
      <c r="U26" s="101">
        <f t="shared" si="0"/>
        <v>36.871</v>
      </c>
    </row>
    <row r="27" spans="1:21" ht="12.75">
      <c r="A27" s="2">
        <v>25</v>
      </c>
      <c r="B27" s="104" t="s">
        <v>213</v>
      </c>
      <c r="C27" s="81">
        <f>'2008年11月'!U27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42.632</v>
      </c>
    </row>
    <row r="28" spans="1:21" ht="12.75">
      <c r="A28" s="2">
        <v>26</v>
      </c>
      <c r="B28" s="104" t="s">
        <v>214</v>
      </c>
      <c r="C28" s="81">
        <f>'2008年11月'!U28</f>
        <v>76.6902</v>
      </c>
      <c r="D28" s="86">
        <v>1</v>
      </c>
      <c r="E28" s="98"/>
      <c r="F28" s="84">
        <f t="shared" si="1"/>
        <v>-7.5</v>
      </c>
      <c r="G28" s="86">
        <v>1</v>
      </c>
      <c r="H28" s="98"/>
      <c r="I28" s="84">
        <f t="shared" si="2"/>
        <v>-7.222</v>
      </c>
      <c r="J28" s="86">
        <v>1</v>
      </c>
      <c r="K28" s="98"/>
      <c r="L28" s="84">
        <f t="shared" si="3"/>
        <v>-4.7826</v>
      </c>
      <c r="M28" s="86">
        <v>1</v>
      </c>
      <c r="N28" s="98"/>
      <c r="O28" s="84">
        <f t="shared" si="4"/>
        <v>-6.5</v>
      </c>
      <c r="P28" s="86"/>
      <c r="Q28" s="98"/>
      <c r="R28" s="84"/>
      <c r="S28" s="86"/>
      <c r="T28" s="87"/>
      <c r="U28" s="101">
        <f t="shared" si="0"/>
        <v>50.6856</v>
      </c>
    </row>
    <row r="29" spans="1:21" ht="12.75">
      <c r="A29" s="2">
        <v>27</v>
      </c>
      <c r="B29" s="104" t="s">
        <v>215</v>
      </c>
      <c r="C29" s="81">
        <f>'2008年11月'!U29</f>
        <v>37.9453</v>
      </c>
      <c r="D29" s="82">
        <v>1</v>
      </c>
      <c r="E29" s="83"/>
      <c r="F29" s="84">
        <f t="shared" si="1"/>
        <v>-7.5</v>
      </c>
      <c r="G29" s="82">
        <v>1</v>
      </c>
      <c r="H29" s="83"/>
      <c r="I29" s="84">
        <f t="shared" si="2"/>
        <v>-7.222</v>
      </c>
      <c r="J29" s="82">
        <v>1</v>
      </c>
      <c r="K29" s="83">
        <v>100</v>
      </c>
      <c r="L29" s="84">
        <f t="shared" si="3"/>
        <v>-4.7826</v>
      </c>
      <c r="M29" s="82">
        <v>1</v>
      </c>
      <c r="N29" s="83"/>
      <c r="O29" s="84">
        <f t="shared" si="4"/>
        <v>-6.5</v>
      </c>
      <c r="P29" s="82"/>
      <c r="Q29" s="83"/>
      <c r="R29" s="84"/>
      <c r="S29" s="82"/>
      <c r="T29" s="87">
        <v>-14</v>
      </c>
      <c r="U29" s="101">
        <f t="shared" si="0"/>
        <v>97.94069999999999</v>
      </c>
    </row>
    <row r="30" spans="1:22" ht="12.75">
      <c r="A30" s="2">
        <v>28</v>
      </c>
      <c r="B30" s="105" t="s">
        <v>216</v>
      </c>
      <c r="C30" s="60">
        <f>'2008年11月'!U30</f>
        <v>3.330000000000002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3.330000000000002</v>
      </c>
      <c r="V30" s="37"/>
    </row>
    <row r="31" spans="1:21" ht="12.75">
      <c r="A31" s="2">
        <v>29</v>
      </c>
      <c r="B31" s="105" t="s">
        <v>217</v>
      </c>
      <c r="C31" s="60">
        <f>'2008年11月'!U31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68.4969</v>
      </c>
    </row>
    <row r="32" spans="1:21" ht="12.75">
      <c r="A32" s="2">
        <v>30</v>
      </c>
      <c r="B32" s="105" t="s">
        <v>218</v>
      </c>
      <c r="C32" s="60">
        <f>'2008年11月'!U32</f>
        <v>42.7607</v>
      </c>
      <c r="D32" s="66">
        <v>1</v>
      </c>
      <c r="E32" s="99"/>
      <c r="F32" s="63">
        <f t="shared" si="1"/>
        <v>-7.5</v>
      </c>
      <c r="G32" s="66">
        <v>1</v>
      </c>
      <c r="H32" s="99"/>
      <c r="I32" s="63">
        <f t="shared" si="2"/>
        <v>-7.222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>
        <v>-14</v>
      </c>
      <c r="U32" s="101">
        <f t="shared" si="0"/>
        <v>14.038699999999999</v>
      </c>
    </row>
    <row r="33" spans="1:21" ht="12.75">
      <c r="A33" s="2">
        <v>31</v>
      </c>
      <c r="B33" s="102" t="s">
        <v>219</v>
      </c>
      <c r="C33" s="67">
        <f>'2008年11月'!U33</f>
        <v>52.5881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/>
      <c r="S33" s="68"/>
      <c r="T33" s="72"/>
      <c r="U33" s="101">
        <f t="shared" si="0"/>
        <v>52.5881</v>
      </c>
    </row>
    <row r="34" spans="1:21" ht="12.75">
      <c r="A34" s="2">
        <v>32</v>
      </c>
      <c r="B34" s="102" t="s">
        <v>220</v>
      </c>
      <c r="C34" s="67">
        <f>'2008年11月'!U34</f>
        <v>95.6038</v>
      </c>
      <c r="D34" s="68">
        <v>1</v>
      </c>
      <c r="E34" s="69"/>
      <c r="F34" s="70">
        <f t="shared" si="1"/>
        <v>-7.5</v>
      </c>
      <c r="G34" s="68">
        <v>1</v>
      </c>
      <c r="H34" s="69"/>
      <c r="I34" s="70">
        <f t="shared" si="2"/>
        <v>-7.222</v>
      </c>
      <c r="J34" s="68">
        <v>1</v>
      </c>
      <c r="K34" s="69"/>
      <c r="L34" s="70">
        <f t="shared" si="3"/>
        <v>-4.7826</v>
      </c>
      <c r="M34" s="68">
        <v>1</v>
      </c>
      <c r="N34" s="69"/>
      <c r="O34" s="70">
        <f t="shared" si="4"/>
        <v>-6.5</v>
      </c>
      <c r="P34" s="68"/>
      <c r="Q34" s="69"/>
      <c r="R34" s="70"/>
      <c r="S34" s="73"/>
      <c r="T34" s="72"/>
      <c r="U34" s="101">
        <f t="shared" si="0"/>
        <v>69.59920000000001</v>
      </c>
    </row>
    <row r="35" spans="1:21" ht="12.75">
      <c r="A35" s="2">
        <v>33</v>
      </c>
      <c r="B35" s="102" t="s">
        <v>221</v>
      </c>
      <c r="C35" s="67">
        <f>'2008年11月'!U35</f>
        <v>18.536299999999997</v>
      </c>
      <c r="D35" s="68">
        <v>1</v>
      </c>
      <c r="E35" s="69"/>
      <c r="F35" s="70">
        <f t="shared" si="1"/>
        <v>-7.5</v>
      </c>
      <c r="G35" s="68">
        <v>1</v>
      </c>
      <c r="H35" s="69"/>
      <c r="I35" s="70">
        <f t="shared" si="2"/>
        <v>-7.222</v>
      </c>
      <c r="J35" s="68">
        <v>1</v>
      </c>
      <c r="K35" s="69">
        <v>100</v>
      </c>
      <c r="L35" s="70">
        <f t="shared" si="3"/>
        <v>-4.7826</v>
      </c>
      <c r="M35" s="68">
        <v>2</v>
      </c>
      <c r="N35" s="69"/>
      <c r="O35" s="70">
        <f t="shared" si="4"/>
        <v>-13</v>
      </c>
      <c r="P35" s="68"/>
      <c r="Q35" s="69"/>
      <c r="R35" s="70"/>
      <c r="S35" s="68"/>
      <c r="T35" s="72"/>
      <c r="U35" s="101">
        <f t="shared" si="0"/>
        <v>86.0317</v>
      </c>
    </row>
    <row r="36" spans="1:21" ht="12.75">
      <c r="A36" s="2">
        <v>34</v>
      </c>
      <c r="B36" s="103" t="s">
        <v>222</v>
      </c>
      <c r="C36" s="74">
        <f>'2008年11月'!U36</f>
        <v>38.125699999999995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0"/>
        <v>38.125699999999995</v>
      </c>
    </row>
    <row r="37" spans="1:22" ht="12.75">
      <c r="A37" s="2">
        <v>35</v>
      </c>
      <c r="B37" s="103" t="s">
        <v>223</v>
      </c>
      <c r="C37" s="74">
        <f>'2008年11月'!U37</f>
        <v>62.29759999999999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-7.222</v>
      </c>
      <c r="J37" s="75">
        <v>1</v>
      </c>
      <c r="K37" s="76"/>
      <c r="L37" s="77">
        <f t="shared" si="3"/>
        <v>-4.7826</v>
      </c>
      <c r="M37" s="75">
        <v>1</v>
      </c>
      <c r="N37" s="76"/>
      <c r="O37" s="77">
        <f t="shared" si="4"/>
        <v>-6.5</v>
      </c>
      <c r="P37" s="75"/>
      <c r="Q37" s="76"/>
      <c r="R37" s="77"/>
      <c r="S37" s="75"/>
      <c r="T37" s="79">
        <v>-14</v>
      </c>
      <c r="U37" s="101">
        <f t="shared" si="0"/>
        <v>29.792999999999985</v>
      </c>
      <c r="V37" s="37"/>
    </row>
    <row r="38" spans="1:21" ht="12.75">
      <c r="A38" s="2">
        <v>36</v>
      </c>
      <c r="B38" s="103" t="s">
        <v>224</v>
      </c>
      <c r="C38" s="74">
        <f>'2008年11月'!U38</f>
        <v>-3.786000000000005</v>
      </c>
      <c r="D38" s="75">
        <v>1</v>
      </c>
      <c r="E38" s="76"/>
      <c r="F38" s="77">
        <f t="shared" si="1"/>
        <v>-7.5</v>
      </c>
      <c r="G38" s="75"/>
      <c r="H38" s="76"/>
      <c r="I38" s="77">
        <f t="shared" si="2"/>
        <v>0</v>
      </c>
      <c r="J38" s="75">
        <v>1</v>
      </c>
      <c r="K38" s="76">
        <v>100</v>
      </c>
      <c r="L38" s="77">
        <f t="shared" si="3"/>
        <v>-4.7826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0"/>
        <v>83.9314</v>
      </c>
    </row>
    <row r="39" spans="1:21" ht="12.75">
      <c r="A39" s="2">
        <v>37</v>
      </c>
      <c r="B39" s="106" t="s">
        <v>225</v>
      </c>
      <c r="C39" s="88">
        <f>'2008年11月'!U39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0"/>
        <v>95.7143</v>
      </c>
    </row>
    <row r="40" spans="1:21" ht="12.75">
      <c r="A40" s="2">
        <v>38</v>
      </c>
      <c r="B40" s="106" t="s">
        <v>226</v>
      </c>
      <c r="C40" s="88">
        <f>'2008年11月'!U40</f>
        <v>27.5912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0"/>
        <v>27.5912</v>
      </c>
    </row>
    <row r="41" spans="1:21" ht="12.75">
      <c r="A41" s="2">
        <v>39</v>
      </c>
      <c r="B41" s="106" t="s">
        <v>227</v>
      </c>
      <c r="C41" s="88">
        <f>'2008年11月'!U41</f>
        <v>69.0912</v>
      </c>
      <c r="D41" s="89">
        <v>2</v>
      </c>
      <c r="E41" s="90"/>
      <c r="F41" s="91">
        <f t="shared" si="1"/>
        <v>-15</v>
      </c>
      <c r="G41" s="89"/>
      <c r="H41" s="90"/>
      <c r="I41" s="91">
        <f t="shared" si="2"/>
        <v>0</v>
      </c>
      <c r="J41" s="89">
        <v>2</v>
      </c>
      <c r="K41" s="90"/>
      <c r="L41" s="91">
        <f t="shared" si="3"/>
        <v>-9.5652</v>
      </c>
      <c r="M41" s="89"/>
      <c r="N41" s="90"/>
      <c r="O41" s="91">
        <f t="shared" si="4"/>
        <v>0</v>
      </c>
      <c r="P41" s="89"/>
      <c r="Q41" s="90"/>
      <c r="R41" s="91"/>
      <c r="S41" s="89"/>
      <c r="T41" s="93">
        <v>-28</v>
      </c>
      <c r="U41" s="101">
        <f t="shared" si="0"/>
        <v>16.525999999999996</v>
      </c>
    </row>
    <row r="42" spans="1:21" ht="12.75">
      <c r="A42" s="2">
        <v>40</v>
      </c>
      <c r="B42" s="104" t="s">
        <v>228</v>
      </c>
      <c r="C42" s="81">
        <f>'2008年11月'!U42</f>
        <v>63.083299999999994</v>
      </c>
      <c r="D42" s="82"/>
      <c r="E42" s="98"/>
      <c r="F42" s="84">
        <f t="shared" si="1"/>
        <v>0</v>
      </c>
      <c r="G42" s="82">
        <v>1</v>
      </c>
      <c r="H42" s="98"/>
      <c r="I42" s="84">
        <f>-7.222*G42-10</f>
        <v>-17.222</v>
      </c>
      <c r="J42" s="82">
        <v>1</v>
      </c>
      <c r="K42" s="98"/>
      <c r="L42" s="84">
        <f t="shared" si="3"/>
        <v>-4.7826</v>
      </c>
      <c r="M42" s="82"/>
      <c r="N42" s="98"/>
      <c r="O42" s="84">
        <f t="shared" si="4"/>
        <v>0</v>
      </c>
      <c r="P42" s="82"/>
      <c r="Q42" s="98"/>
      <c r="R42" s="84"/>
      <c r="S42" s="82"/>
      <c r="T42" s="87">
        <v>-14</v>
      </c>
      <c r="U42" s="101">
        <f t="shared" si="0"/>
        <v>27.07869999999999</v>
      </c>
    </row>
    <row r="43" spans="1:21" ht="12.75">
      <c r="A43" s="2">
        <v>41</v>
      </c>
      <c r="B43" s="104" t="s">
        <v>229</v>
      </c>
      <c r="C43" s="81">
        <f>'2008年11月'!U43</f>
        <v>0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86"/>
      <c r="Q43" s="98"/>
      <c r="R43" s="84"/>
      <c r="S43" s="86"/>
      <c r="T43" s="87"/>
      <c r="U43" s="101">
        <f t="shared" si="0"/>
        <v>0</v>
      </c>
    </row>
    <row r="44" spans="1:21" ht="12.75">
      <c r="A44" s="2">
        <v>42</v>
      </c>
      <c r="B44" s="104" t="s">
        <v>230</v>
      </c>
      <c r="C44" s="81">
        <f>'2008年11月'!U44</f>
        <v>84.9624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0"/>
        <v>84.9624</v>
      </c>
    </row>
    <row r="45" spans="1:21" ht="12.75">
      <c r="A45" s="2">
        <v>43</v>
      </c>
      <c r="B45" s="105" t="s">
        <v>231</v>
      </c>
      <c r="C45" s="60">
        <f>'2008年11月'!U45</f>
        <v>43.061400000000006</v>
      </c>
      <c r="D45" s="66">
        <v>1</v>
      </c>
      <c r="E45" s="99"/>
      <c r="F45" s="63">
        <f t="shared" si="1"/>
        <v>-7.5</v>
      </c>
      <c r="G45" s="66">
        <v>1</v>
      </c>
      <c r="H45" s="99"/>
      <c r="I45" s="63">
        <f t="shared" si="2"/>
        <v>-7.222</v>
      </c>
      <c r="J45" s="66">
        <v>1</v>
      </c>
      <c r="K45" s="99"/>
      <c r="L45" s="63">
        <f t="shared" si="3"/>
        <v>-4.7826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0"/>
        <v>23.556800000000003</v>
      </c>
    </row>
    <row r="46" spans="1:21" ht="12.75">
      <c r="A46" s="2">
        <v>44</v>
      </c>
      <c r="B46" s="109">
        <v>9631</v>
      </c>
      <c r="C46" s="60">
        <f>'2008年11月'!U46</f>
        <v>59.894800000000004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-6.5</v>
      </c>
      <c r="P46" s="61"/>
      <c r="Q46" s="99"/>
      <c r="R46" s="63"/>
      <c r="S46" s="61"/>
      <c r="T46" s="65"/>
      <c r="U46" s="101">
        <f t="shared" si="0"/>
        <v>53.394800000000004</v>
      </c>
    </row>
    <row r="47" spans="1:21" ht="12.75">
      <c r="A47" s="2">
        <v>45</v>
      </c>
      <c r="B47" s="105" t="s">
        <v>232</v>
      </c>
      <c r="C47" s="60">
        <f>'2008年11月'!U47</f>
        <v>46.1666</v>
      </c>
      <c r="D47" s="66">
        <v>1</v>
      </c>
      <c r="E47" s="99"/>
      <c r="F47" s="63">
        <f t="shared" si="1"/>
        <v>-7.5</v>
      </c>
      <c r="G47" s="66">
        <v>1</v>
      </c>
      <c r="H47" s="99"/>
      <c r="I47" s="63">
        <f>-7.222*G47-10</f>
        <v>-17.222</v>
      </c>
      <c r="J47" s="66">
        <v>1</v>
      </c>
      <c r="K47" s="99"/>
      <c r="L47" s="63">
        <f>-4.7826*J47-10</f>
        <v>-14.7826</v>
      </c>
      <c r="M47" s="66">
        <v>1</v>
      </c>
      <c r="N47" s="99"/>
      <c r="O47" s="63">
        <f t="shared" si="4"/>
        <v>-6.5</v>
      </c>
      <c r="P47" s="66"/>
      <c r="Q47" s="99"/>
      <c r="R47" s="63"/>
      <c r="S47" s="66"/>
      <c r="T47" s="65"/>
      <c r="U47" s="101">
        <f t="shared" si="0"/>
        <v>0.1620000000000008</v>
      </c>
    </row>
    <row r="48" spans="1:21" ht="12.75">
      <c r="A48" s="2">
        <v>46</v>
      </c>
      <c r="B48" s="102" t="s">
        <v>249</v>
      </c>
      <c r="C48" s="67">
        <f>'2008年11月'!U48</f>
        <v>0</v>
      </c>
      <c r="D48" s="68">
        <v>1</v>
      </c>
      <c r="E48" s="69">
        <v>100</v>
      </c>
      <c r="F48" s="70">
        <f t="shared" si="1"/>
        <v>-7.5</v>
      </c>
      <c r="G48" s="68"/>
      <c r="H48" s="69"/>
      <c r="I48" s="70">
        <f t="shared" si="2"/>
        <v>0</v>
      </c>
      <c r="J48" s="68">
        <v>1</v>
      </c>
      <c r="K48" s="69"/>
      <c r="L48" s="70">
        <f>-4.7826*J48-10</f>
        <v>-14.7826</v>
      </c>
      <c r="M48" s="68">
        <v>1</v>
      </c>
      <c r="N48" s="69"/>
      <c r="O48" s="70">
        <f>-6.5*M48-10</f>
        <v>-16.5</v>
      </c>
      <c r="P48" s="68"/>
      <c r="Q48" s="69"/>
      <c r="R48" s="70"/>
      <c r="S48" s="68"/>
      <c r="T48" s="72">
        <v>-14</v>
      </c>
      <c r="U48" s="101">
        <f t="shared" si="0"/>
        <v>47.2174</v>
      </c>
    </row>
    <row r="49" spans="1:21" ht="12.75">
      <c r="A49" s="2">
        <v>47</v>
      </c>
      <c r="B49" s="102" t="s">
        <v>258</v>
      </c>
      <c r="C49" s="67">
        <f>'2008年11月'!U49</f>
        <v>0</v>
      </c>
      <c r="D49" s="68"/>
      <c r="E49" s="69"/>
      <c r="F49" s="70"/>
      <c r="G49" s="68"/>
      <c r="H49" s="69"/>
      <c r="I49" s="70"/>
      <c r="J49" s="68"/>
      <c r="K49" s="69"/>
      <c r="L49" s="70"/>
      <c r="M49" s="68">
        <v>1</v>
      </c>
      <c r="N49" s="69">
        <v>100</v>
      </c>
      <c r="O49" s="70">
        <f t="shared" si="4"/>
        <v>-6.5</v>
      </c>
      <c r="P49" s="68"/>
      <c r="Q49" s="69"/>
      <c r="R49" s="70"/>
      <c r="S49" s="73"/>
      <c r="T49" s="72">
        <v>-14</v>
      </c>
      <c r="U49" s="101">
        <f t="shared" si="0"/>
        <v>79.5</v>
      </c>
    </row>
    <row r="50" spans="1:21" ht="12.75">
      <c r="A50" s="2">
        <v>48</v>
      </c>
      <c r="B50" s="102"/>
      <c r="C50" s="67">
        <f>'2008年11月'!U50</f>
        <v>0</v>
      </c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47</v>
      </c>
      <c r="D54" s="1">
        <f>SUM(D3:D52)</f>
        <v>20</v>
      </c>
      <c r="F54" s="1">
        <f>E65/D54</f>
        <v>7.5</v>
      </c>
      <c r="G54" s="1">
        <f>SUM(G3:G52)</f>
        <v>18</v>
      </c>
      <c r="I54" s="1">
        <f>H65/G54</f>
        <v>7.222222222222222</v>
      </c>
      <c r="J54" s="1">
        <f>SUM(J3:J52)</f>
        <v>23</v>
      </c>
      <c r="L54" s="1">
        <f>K65/J54</f>
        <v>4.782608695652174</v>
      </c>
      <c r="M54" s="1">
        <f>SUM(M3:M52)</f>
        <v>20</v>
      </c>
      <c r="O54" s="1">
        <f>N65/M54</f>
        <v>6.5</v>
      </c>
      <c r="P54" s="1">
        <f>SUM(P3:P52)</f>
        <v>0</v>
      </c>
      <c r="R54" s="1" t="e">
        <f>Q65/P54</f>
        <v>#DIV/0!</v>
      </c>
      <c r="S54" s="1">
        <f>SUM(S3:S53)</f>
        <v>0</v>
      </c>
      <c r="T54" s="36">
        <f>SUM(T3:T50)</f>
        <v>-154</v>
      </c>
      <c r="U54" s="31"/>
    </row>
    <row r="55" spans="4:18" ht="12.75">
      <c r="D55" s="47" t="s">
        <v>233</v>
      </c>
      <c r="F55" s="48" t="s">
        <v>234</v>
      </c>
      <c r="G55" s="47" t="s">
        <v>233</v>
      </c>
      <c r="I55" s="48" t="s">
        <v>234</v>
      </c>
      <c r="J55" s="47" t="s">
        <v>233</v>
      </c>
      <c r="L55" s="48" t="s">
        <v>234</v>
      </c>
      <c r="M55" s="47" t="s">
        <v>233</v>
      </c>
      <c r="O55" s="48" t="s">
        <v>234</v>
      </c>
      <c r="P55" s="47" t="s">
        <v>233</v>
      </c>
      <c r="R55" s="48" t="s">
        <v>234</v>
      </c>
    </row>
    <row r="56" spans="5:21" ht="12.75">
      <c r="E56" s="37" t="s">
        <v>235</v>
      </c>
      <c r="F56" s="1">
        <f>SUM(F3:F52)</f>
        <v>-150</v>
      </c>
      <c r="H56" s="37" t="s">
        <v>235</v>
      </c>
      <c r="I56" s="1">
        <f>SUM(I3:I52)</f>
        <v>-149.99599999999998</v>
      </c>
      <c r="K56" s="37" t="s">
        <v>235</v>
      </c>
      <c r="L56" s="1">
        <f>SUM(L3:L52)</f>
        <v>-149.99980000000002</v>
      </c>
      <c r="N56" s="37" t="s">
        <v>235</v>
      </c>
      <c r="O56" s="1">
        <f>SUM(O3:O52)</f>
        <v>-150</v>
      </c>
      <c r="Q56" s="37" t="s">
        <v>235</v>
      </c>
      <c r="R56" s="1">
        <f>SUM(R3:R52)</f>
        <v>0</v>
      </c>
      <c r="U56" s="24"/>
    </row>
    <row r="57" spans="2:21" ht="12.75">
      <c r="B57" s="41" t="s">
        <v>236</v>
      </c>
      <c r="C57" s="36">
        <f>SUM(C3:C52)</f>
        <v>2369.9992</v>
      </c>
      <c r="E57" s="41"/>
      <c r="H57" s="41"/>
      <c r="K57" s="41"/>
      <c r="N57" s="41"/>
      <c r="Q57" s="41"/>
      <c r="U57" s="24"/>
    </row>
    <row r="58" spans="19:21" ht="12.75">
      <c r="S58" s="151" t="s">
        <v>8</v>
      </c>
      <c r="T58" s="151"/>
      <c r="U58" s="56">
        <f>SUM(U3:U52)</f>
        <v>2616.0033999999996</v>
      </c>
    </row>
    <row r="59" spans="4:18" ht="12.75" customHeight="1">
      <c r="D59" s="155" t="s">
        <v>248</v>
      </c>
      <c r="E59" s="161"/>
      <c r="F59" s="162"/>
      <c r="G59" s="155" t="s">
        <v>250</v>
      </c>
      <c r="H59" s="161"/>
      <c r="I59" s="162"/>
      <c r="J59" s="155" t="s">
        <v>255</v>
      </c>
      <c r="K59" s="161"/>
      <c r="L59" s="162"/>
      <c r="M59" s="155" t="s">
        <v>256</v>
      </c>
      <c r="N59" s="161"/>
      <c r="O59" s="162"/>
      <c r="P59" s="155"/>
      <c r="Q59" s="161"/>
      <c r="R59" s="162"/>
    </row>
    <row r="60" spans="4:18" ht="12.75">
      <c r="D60" s="163"/>
      <c r="E60" s="164"/>
      <c r="F60" s="165"/>
      <c r="G60" s="163"/>
      <c r="H60" s="164"/>
      <c r="I60" s="165"/>
      <c r="J60" s="163"/>
      <c r="K60" s="164"/>
      <c r="L60" s="165"/>
      <c r="M60" s="163"/>
      <c r="N60" s="164"/>
      <c r="O60" s="165"/>
      <c r="P60" s="163"/>
      <c r="Q60" s="164"/>
      <c r="R60" s="165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238</v>
      </c>
      <c r="E65" s="50">
        <f>150-E83-E90</f>
        <v>150</v>
      </c>
      <c r="F65" s="51"/>
      <c r="G65" s="52" t="s">
        <v>238</v>
      </c>
      <c r="H65" s="50">
        <f>150-H83-H90</f>
        <v>130</v>
      </c>
      <c r="I65" s="51"/>
      <c r="J65" s="52" t="s">
        <v>238</v>
      </c>
      <c r="K65" s="50">
        <f>K67-K83-K91</f>
        <v>110</v>
      </c>
      <c r="L65" s="51"/>
      <c r="M65" s="52" t="s">
        <v>238</v>
      </c>
      <c r="N65" s="50">
        <f>N67-N83-N91</f>
        <v>130</v>
      </c>
      <c r="O65" s="51"/>
      <c r="P65" s="52"/>
      <c r="Q65" s="50"/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237</v>
      </c>
      <c r="E67" s="54">
        <f>150</f>
        <v>150</v>
      </c>
      <c r="F67" s="55"/>
      <c r="G67" s="110" t="s">
        <v>237</v>
      </c>
      <c r="H67" s="54">
        <f>150</f>
        <v>150</v>
      </c>
      <c r="I67" s="55"/>
      <c r="J67" s="110" t="s">
        <v>237</v>
      </c>
      <c r="K67" s="54">
        <f>150</f>
        <v>150</v>
      </c>
      <c r="L67" s="55"/>
      <c r="M67" s="110" t="s">
        <v>237</v>
      </c>
      <c r="N67" s="54">
        <f>150</f>
        <v>150</v>
      </c>
      <c r="O67" s="55"/>
      <c r="P67" s="110"/>
      <c r="Q67" s="54"/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66"/>
      <c r="Q69" s="167"/>
      <c r="R69" s="167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66"/>
      <c r="Q70" s="167"/>
      <c r="R70" s="167"/>
    </row>
    <row r="71" spans="4:18" ht="12.75">
      <c r="D71" s="37"/>
      <c r="G71" s="37"/>
      <c r="J71" s="37"/>
      <c r="M71" s="37"/>
      <c r="P71" s="167"/>
      <c r="Q71" s="167"/>
      <c r="R71" s="167"/>
    </row>
    <row r="72" spans="16:18" ht="12.75">
      <c r="P72" s="167"/>
      <c r="Q72" s="167"/>
      <c r="R72" s="167"/>
    </row>
    <row r="73" spans="4:18" ht="12.75" customHeight="1">
      <c r="D73" s="149"/>
      <c r="E73" s="150"/>
      <c r="F73" s="150"/>
      <c r="G73" s="149"/>
      <c r="H73" s="150"/>
      <c r="I73" s="150"/>
      <c r="J73" s="149"/>
      <c r="K73" s="150"/>
      <c r="L73" s="150"/>
      <c r="M73" s="149"/>
      <c r="N73" s="150"/>
      <c r="O73" s="150"/>
      <c r="P73" s="160"/>
      <c r="Q73" s="160"/>
      <c r="R73" s="160"/>
    </row>
    <row r="74" spans="4:18" ht="12.75"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60"/>
      <c r="Q74" s="160"/>
      <c r="R74" s="160"/>
    </row>
    <row r="75" spans="4:18" ht="12.75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60"/>
      <c r="Q75" s="160"/>
      <c r="R75" s="160"/>
    </row>
    <row r="76" spans="4:18" ht="12.75">
      <c r="D76" s="149"/>
      <c r="E76" s="150"/>
      <c r="F76" s="150"/>
      <c r="G76" s="149"/>
      <c r="H76" s="150"/>
      <c r="I76" s="150"/>
      <c r="J76" s="149"/>
      <c r="K76" s="150"/>
      <c r="L76" s="150"/>
      <c r="M76" s="149"/>
      <c r="N76" s="150"/>
      <c r="O76" s="150"/>
      <c r="P76" s="160"/>
      <c r="Q76" s="160"/>
      <c r="R76" s="160"/>
    </row>
    <row r="77" spans="4:18" ht="12.75"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60"/>
      <c r="Q77" s="160"/>
      <c r="R77" s="160"/>
    </row>
    <row r="78" spans="4:18" ht="21.75" customHeight="1"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60"/>
      <c r="Q78" s="160"/>
      <c r="R78" s="160"/>
    </row>
    <row r="79" spans="4:17" ht="12.75">
      <c r="D79" s="153" t="s">
        <v>239</v>
      </c>
      <c r="E79" s="154"/>
      <c r="G79" s="153" t="s">
        <v>239</v>
      </c>
      <c r="H79" s="154"/>
      <c r="J79" s="153" t="s">
        <v>239</v>
      </c>
      <c r="K79" s="154"/>
      <c r="M79" s="153" t="s">
        <v>239</v>
      </c>
      <c r="N79" s="154"/>
      <c r="P79" s="153"/>
      <c r="Q79" s="153"/>
    </row>
    <row r="80" spans="4:16" ht="12.75" customHeight="1">
      <c r="D80" s="37"/>
      <c r="G80" s="37"/>
      <c r="J80" s="37"/>
      <c r="M80" s="37"/>
      <c r="P80" s="37"/>
    </row>
    <row r="81" spans="4:16" ht="12.75" customHeight="1">
      <c r="D81" s="107"/>
      <c r="G81" s="107" t="s">
        <v>251</v>
      </c>
      <c r="H81" s="1">
        <v>10</v>
      </c>
      <c r="J81" s="107" t="s">
        <v>253</v>
      </c>
      <c r="K81" s="1">
        <v>10</v>
      </c>
      <c r="M81" s="107" t="s">
        <v>253</v>
      </c>
      <c r="N81" s="1">
        <v>10</v>
      </c>
      <c r="P81" s="107"/>
    </row>
    <row r="82" spans="4:16" ht="12.75">
      <c r="D82" s="107"/>
      <c r="G82" s="107" t="s">
        <v>252</v>
      </c>
      <c r="H82" s="1">
        <v>10</v>
      </c>
      <c r="J82" s="107"/>
      <c r="M82" s="107"/>
      <c r="P82" s="107"/>
    </row>
    <row r="83" spans="4:14" ht="12.75">
      <c r="D83" s="1" t="s">
        <v>246</v>
      </c>
      <c r="E83" s="37"/>
      <c r="H83" s="37">
        <f>SUM(H81:H82)</f>
        <v>20</v>
      </c>
      <c r="K83" s="37">
        <f>SUM(K81:K82)</f>
        <v>10</v>
      </c>
      <c r="N83" s="37">
        <f>SUM(N81:N82)</f>
        <v>10</v>
      </c>
    </row>
    <row r="84" spans="5:14" ht="12.75">
      <c r="E84" s="37" t="s">
        <v>247</v>
      </c>
      <c r="H84" s="37"/>
      <c r="K84" s="37"/>
      <c r="N84" s="37"/>
    </row>
    <row r="86" spans="4:17" ht="12.75" customHeight="1">
      <c r="D86" s="153" t="s">
        <v>240</v>
      </c>
      <c r="E86" s="154"/>
      <c r="G86" s="153" t="s">
        <v>240</v>
      </c>
      <c r="H86" s="154"/>
      <c r="J86" s="153" t="s">
        <v>240</v>
      </c>
      <c r="K86" s="154"/>
      <c r="M86" s="153" t="s">
        <v>240</v>
      </c>
      <c r="N86" s="154"/>
      <c r="P86" s="153"/>
      <c r="Q86" s="153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241</v>
      </c>
      <c r="G88" s="153" t="s">
        <v>241</v>
      </c>
      <c r="H88" s="153"/>
      <c r="J88" s="107" t="s">
        <v>252</v>
      </c>
      <c r="K88" s="1">
        <v>10</v>
      </c>
      <c r="M88" s="107" t="s">
        <v>257</v>
      </c>
      <c r="N88" s="1">
        <v>10</v>
      </c>
      <c r="P88" s="37"/>
      <c r="Q88" s="37"/>
    </row>
    <row r="89" spans="10:13" ht="12.75">
      <c r="J89" s="37" t="s">
        <v>254</v>
      </c>
      <c r="K89" s="1">
        <v>10</v>
      </c>
      <c r="M89" s="37"/>
    </row>
    <row r="90" spans="10:11" ht="12.75">
      <c r="J90" s="1" t="s">
        <v>188</v>
      </c>
      <c r="K90" s="1">
        <v>10</v>
      </c>
    </row>
    <row r="91" spans="11:14" ht="12.75">
      <c r="K91" s="1">
        <f>SUM(K88:K90)</f>
        <v>30</v>
      </c>
      <c r="N91" s="1">
        <f>SUM(N88:N90)</f>
        <v>10</v>
      </c>
    </row>
    <row r="93" spans="4:18" ht="12.75" customHeight="1">
      <c r="D93" s="152" t="s">
        <v>158</v>
      </c>
      <c r="E93" s="152"/>
      <c r="F93" s="152"/>
      <c r="G93" s="152" t="s">
        <v>242</v>
      </c>
      <c r="H93" s="152"/>
      <c r="I93" s="152"/>
      <c r="J93" s="152" t="s">
        <v>242</v>
      </c>
      <c r="K93" s="152"/>
      <c r="L93" s="152"/>
      <c r="M93" s="152" t="s">
        <v>242</v>
      </c>
      <c r="N93" s="152"/>
      <c r="O93" s="152"/>
      <c r="P93" s="152"/>
      <c r="Q93" s="152"/>
      <c r="R93" s="152"/>
    </row>
    <row r="94" spans="4:18" ht="12.75"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</row>
    <row r="95" spans="4:18" ht="12.75"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4:18" ht="12.75">
      <c r="D96" s="37" t="s">
        <v>244</v>
      </c>
      <c r="G96" s="37"/>
      <c r="J96" s="37"/>
      <c r="M96" s="37"/>
      <c r="N96" s="59"/>
      <c r="O96" s="59"/>
      <c r="P96" s="37"/>
      <c r="Q96" s="59"/>
      <c r="R96" s="59"/>
    </row>
    <row r="97" spans="4:18" ht="12.75">
      <c r="D97" s="37" t="s">
        <v>245</v>
      </c>
      <c r="G97" s="37"/>
      <c r="J97" s="37"/>
      <c r="M97" s="107"/>
      <c r="N97" s="59"/>
      <c r="O97" s="59"/>
      <c r="P97" s="107"/>
      <c r="Q97" s="59"/>
      <c r="R97" s="59"/>
    </row>
    <row r="98" spans="4:18" ht="12.75">
      <c r="D98" s="156" t="s">
        <v>243</v>
      </c>
      <c r="E98" s="154"/>
      <c r="F98" s="154"/>
      <c r="G98" s="156"/>
      <c r="H98" s="154"/>
      <c r="I98" s="154"/>
      <c r="J98" s="156"/>
      <c r="K98" s="154"/>
      <c r="L98" s="154"/>
      <c r="M98" s="156"/>
      <c r="N98" s="156"/>
      <c r="O98" s="156"/>
      <c r="P98" s="156"/>
      <c r="Q98" s="156"/>
      <c r="R98" s="156"/>
    </row>
    <row r="99" spans="4:18" ht="12.75">
      <c r="D99" s="154"/>
      <c r="E99" s="154"/>
      <c r="F99" s="154"/>
      <c r="G99" s="154"/>
      <c r="H99" s="154"/>
      <c r="I99" s="154"/>
      <c r="J99" s="154"/>
      <c r="K99" s="154"/>
      <c r="L99" s="154"/>
      <c r="M99" s="156"/>
      <c r="N99" s="156"/>
      <c r="O99" s="156"/>
      <c r="P99" s="156"/>
      <c r="Q99" s="156"/>
      <c r="R99" s="156"/>
    </row>
    <row r="100" spans="13:18" ht="12.75">
      <c r="M100" s="156"/>
      <c r="N100" s="154"/>
      <c r="O100" s="154"/>
      <c r="P100" s="156"/>
      <c r="Q100" s="154"/>
      <c r="R100" s="154"/>
    </row>
    <row r="101" spans="13:18" ht="12.75">
      <c r="M101" s="154"/>
      <c r="N101" s="154"/>
      <c r="O101" s="154"/>
      <c r="P101" s="154"/>
      <c r="Q101" s="154"/>
      <c r="R101" s="154"/>
    </row>
  </sheetData>
  <sheetProtection/>
  <mergeCells count="41">
    <mergeCell ref="P98:R99"/>
    <mergeCell ref="P100:R101"/>
    <mergeCell ref="P73:R75"/>
    <mergeCell ref="P76:R78"/>
    <mergeCell ref="P79:Q79"/>
    <mergeCell ref="P86:Q86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M93:O95"/>
    <mergeCell ref="G86:H86"/>
    <mergeCell ref="S58:T58"/>
    <mergeCell ref="J59:L63"/>
    <mergeCell ref="J73:L75"/>
    <mergeCell ref="M59:O63"/>
    <mergeCell ref="M73:O75"/>
    <mergeCell ref="P59:R63"/>
    <mergeCell ref="P69:R72"/>
    <mergeCell ref="P93:R95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G88:H88"/>
    <mergeCell ref="D1:F1"/>
    <mergeCell ref="D59:F63"/>
    <mergeCell ref="D73:F75"/>
    <mergeCell ref="D79:E79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">
      <selection activeCell="Q45" sqref="Q4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39815</v>
      </c>
      <c r="E1" s="158"/>
      <c r="F1" s="159"/>
      <c r="G1" s="18"/>
      <c r="H1" s="32">
        <v>39823</v>
      </c>
      <c r="I1" s="19"/>
      <c r="J1" s="44"/>
      <c r="K1" s="32">
        <v>39859</v>
      </c>
      <c r="L1" s="45"/>
      <c r="M1" s="18"/>
      <c r="N1" s="32">
        <v>39865</v>
      </c>
      <c r="O1" s="19"/>
      <c r="P1" s="18"/>
      <c r="Q1" s="32">
        <v>39872</v>
      </c>
      <c r="R1" s="19"/>
      <c r="S1" s="18"/>
      <c r="T1" s="111" t="s">
        <v>259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103.66</v>
      </c>
      <c r="D3" s="68">
        <v>1</v>
      </c>
      <c r="E3" s="69"/>
      <c r="F3" s="70">
        <f>-11.1765*D3</f>
        <v>-11.1765</v>
      </c>
      <c r="G3" s="68">
        <v>1</v>
      </c>
      <c r="H3" s="69"/>
      <c r="I3" s="70">
        <f>-8.2353*G3</f>
        <v>-8.2353</v>
      </c>
      <c r="J3" s="68">
        <v>1</v>
      </c>
      <c r="K3" s="69"/>
      <c r="L3" s="70">
        <f>-7.1429*J3</f>
        <v>-7.1429</v>
      </c>
      <c r="M3" s="68">
        <v>1</v>
      </c>
      <c r="N3" s="69"/>
      <c r="O3" s="70">
        <f>-4.2857*M3</f>
        <v>-4.2857</v>
      </c>
      <c r="P3" s="68">
        <v>1</v>
      </c>
      <c r="Q3" s="69"/>
      <c r="R3" s="70">
        <f>-5*P3</f>
        <v>-5</v>
      </c>
      <c r="S3" s="68"/>
      <c r="T3" s="72"/>
      <c r="U3" s="101">
        <f aca="true" t="shared" si="0" ref="U3:U52">C3+E3+F3+H3+I3+K3+L3+N3+O3+T3+Q3+R3</f>
        <v>67.8196</v>
      </c>
    </row>
    <row r="4" spans="1:21" ht="12.75">
      <c r="A4" s="2">
        <v>2</v>
      </c>
      <c r="B4" s="100" t="s">
        <v>3</v>
      </c>
      <c r="C4" s="67">
        <v>49.04</v>
      </c>
      <c r="D4" s="68"/>
      <c r="E4" s="69"/>
      <c r="F4" s="70">
        <f aca="true" t="shared" si="1" ref="F4:F50">-11.1765*D4</f>
        <v>0</v>
      </c>
      <c r="G4" s="68"/>
      <c r="H4" s="69"/>
      <c r="I4" s="70">
        <f aca="true" t="shared" si="2" ref="I4:I50">-8.2353*G4</f>
        <v>0</v>
      </c>
      <c r="J4" s="68"/>
      <c r="K4" s="69"/>
      <c r="L4" s="70">
        <f aca="true" t="shared" si="3" ref="L4:L50">-7.1429*J4</f>
        <v>0</v>
      </c>
      <c r="M4" s="68">
        <v>1</v>
      </c>
      <c r="N4" s="69"/>
      <c r="O4" s="70">
        <f aca="true" t="shared" si="4" ref="O4:O52">-4.2857*M4</f>
        <v>-4.2857</v>
      </c>
      <c r="P4" s="68"/>
      <c r="Q4" s="69"/>
      <c r="R4" s="70">
        <f aca="true" t="shared" si="5" ref="R4:R50">-5*P4</f>
        <v>0</v>
      </c>
      <c r="S4" s="73"/>
      <c r="T4" s="72"/>
      <c r="U4" s="101">
        <f t="shared" si="0"/>
        <v>44.7543</v>
      </c>
    </row>
    <row r="5" spans="1:21" ht="12.75">
      <c r="A5" s="2">
        <v>3</v>
      </c>
      <c r="B5" s="102" t="s">
        <v>13</v>
      </c>
      <c r="C5" s="67">
        <v>102.95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102.95</v>
      </c>
    </row>
    <row r="6" spans="1:23" ht="12.75">
      <c r="A6" s="2">
        <v>4</v>
      </c>
      <c r="B6" s="103" t="s">
        <v>20</v>
      </c>
      <c r="C6" s="74">
        <v>85.34</v>
      </c>
      <c r="D6" s="80">
        <v>1</v>
      </c>
      <c r="E6" s="76"/>
      <c r="F6" s="77">
        <f t="shared" si="1"/>
        <v>-11.1765</v>
      </c>
      <c r="G6" s="80">
        <v>1</v>
      </c>
      <c r="H6" s="76"/>
      <c r="I6" s="77">
        <f t="shared" si="2"/>
        <v>-8.2353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80"/>
      <c r="Q6" s="76"/>
      <c r="R6" s="77">
        <f t="shared" si="5"/>
        <v>0</v>
      </c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46</v>
      </c>
      <c r="C7" s="74">
        <v>25.3</v>
      </c>
      <c r="D7" s="75">
        <v>1</v>
      </c>
      <c r="E7" s="76"/>
      <c r="F7" s="77">
        <f t="shared" si="1"/>
        <v>-11.1765</v>
      </c>
      <c r="G7" s="75"/>
      <c r="H7" s="76"/>
      <c r="I7" s="77">
        <f t="shared" si="2"/>
        <v>0</v>
      </c>
      <c r="J7" s="75">
        <v>1</v>
      </c>
      <c r="K7" s="76">
        <v>100</v>
      </c>
      <c r="L7" s="77">
        <f t="shared" si="3"/>
        <v>-7.1429</v>
      </c>
      <c r="M7" s="75">
        <v>1</v>
      </c>
      <c r="N7" s="76"/>
      <c r="O7" s="77">
        <f t="shared" si="4"/>
        <v>-4.2857</v>
      </c>
      <c r="P7" s="75"/>
      <c r="Q7" s="76"/>
      <c r="R7" s="77">
        <f t="shared" si="5"/>
        <v>0</v>
      </c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47</v>
      </c>
      <c r="C8" s="74"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93</v>
      </c>
      <c r="C9" s="88"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27</v>
      </c>
      <c r="C12" s="81">
        <v>101.34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>
        <v>1</v>
      </c>
      <c r="N12" s="83"/>
      <c r="O12" s="84">
        <f t="shared" si="4"/>
        <v>-4.2857</v>
      </c>
      <c r="P12" s="82">
        <v>1</v>
      </c>
      <c r="Q12" s="83"/>
      <c r="R12" s="84">
        <f t="shared" si="5"/>
        <v>-5</v>
      </c>
      <c r="S12" s="82"/>
      <c r="T12" s="87">
        <v>-14</v>
      </c>
      <c r="U12" s="101">
        <f t="shared" si="0"/>
        <v>78.0543</v>
      </c>
    </row>
    <row r="13" spans="1:21" ht="12.75">
      <c r="A13" s="2">
        <v>11</v>
      </c>
      <c r="B13" s="104" t="s">
        <v>96</v>
      </c>
      <c r="C13" s="81">
        <v>21.22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21.22</v>
      </c>
    </row>
    <row r="14" spans="1:21" ht="12.75">
      <c r="A14" s="2">
        <v>12</v>
      </c>
      <c r="B14" s="104" t="s">
        <v>29</v>
      </c>
      <c r="C14" s="81">
        <v>16.15</v>
      </c>
      <c r="D14" s="82">
        <v>1</v>
      </c>
      <c r="E14" s="83"/>
      <c r="F14" s="84">
        <f t="shared" si="1"/>
        <v>-11.1765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4.973499999999998</v>
      </c>
    </row>
    <row r="15" spans="1:21" ht="12.75">
      <c r="A15" s="2">
        <v>13</v>
      </c>
      <c r="B15" s="105" t="s">
        <v>30</v>
      </c>
      <c r="C15" s="60">
        <v>121.3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-7.1429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v>100.91</v>
      </c>
      <c r="D16" s="61">
        <v>1</v>
      </c>
      <c r="E16" s="62"/>
      <c r="F16" s="63">
        <f>-11.1765*D16-10</f>
        <v>-21.1765</v>
      </c>
      <c r="G16" s="61">
        <v>1</v>
      </c>
      <c r="H16" s="62"/>
      <c r="I16" s="63">
        <f t="shared" si="2"/>
        <v>-8.2353</v>
      </c>
      <c r="J16" s="61">
        <v>1</v>
      </c>
      <c r="K16" s="62"/>
      <c r="L16" s="63">
        <f t="shared" si="3"/>
        <v>-7.1429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55</v>
      </c>
      <c r="C17" s="60"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v>71.77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-8.2353</v>
      </c>
      <c r="J18" s="68">
        <v>1</v>
      </c>
      <c r="K18" s="69"/>
      <c r="L18" s="70">
        <f t="shared" si="3"/>
        <v>-7.1429</v>
      </c>
      <c r="M18" s="68">
        <v>1</v>
      </c>
      <c r="N18" s="69"/>
      <c r="O18" s="70">
        <f t="shared" si="4"/>
        <v>-4.2857</v>
      </c>
      <c r="P18" s="68">
        <v>1</v>
      </c>
      <c r="Q18" s="69"/>
      <c r="R18" s="70">
        <f t="shared" si="5"/>
        <v>-5</v>
      </c>
      <c r="S18" s="68"/>
      <c r="T18" s="72"/>
      <c r="U18" s="101">
        <f t="shared" si="0"/>
        <v>47.1061</v>
      </c>
    </row>
    <row r="19" spans="1:23" ht="12.75">
      <c r="A19" s="2">
        <v>17</v>
      </c>
      <c r="B19" s="102" t="s">
        <v>56</v>
      </c>
      <c r="C19" s="67">
        <v>29.49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-16.4706</v>
      </c>
      <c r="J19" s="68">
        <v>2</v>
      </c>
      <c r="K19" s="69"/>
      <c r="L19" s="70">
        <f t="shared" si="3"/>
        <v>-14.2858</v>
      </c>
      <c r="M19" s="68">
        <v>1</v>
      </c>
      <c r="N19" s="69"/>
      <c r="O19" s="70">
        <f t="shared" si="4"/>
        <v>-4.2857</v>
      </c>
      <c r="P19" s="68">
        <v>1</v>
      </c>
      <c r="Q19" s="69">
        <v>100</v>
      </c>
      <c r="R19" s="70">
        <f t="shared" si="5"/>
        <v>-5</v>
      </c>
      <c r="S19" s="73"/>
      <c r="T19" s="72"/>
      <c r="U19" s="101">
        <f t="shared" si="0"/>
        <v>89.4479</v>
      </c>
      <c r="W19" s="37"/>
    </row>
    <row r="20" spans="1:21" ht="12.75">
      <c r="A20" s="2">
        <v>18</v>
      </c>
      <c r="B20" s="102" t="s">
        <v>57</v>
      </c>
      <c r="C20" s="67"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69</v>
      </c>
      <c r="C21" s="74"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v>39.34</v>
      </c>
      <c r="D22" s="75">
        <v>1</v>
      </c>
      <c r="E22" s="76"/>
      <c r="F22" s="77">
        <f t="shared" si="1"/>
        <v>-11.1765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-7.1429</v>
      </c>
      <c r="M22" s="75">
        <v>1</v>
      </c>
      <c r="N22" s="76"/>
      <c r="O22" s="77">
        <f t="shared" si="4"/>
        <v>-4.2857</v>
      </c>
      <c r="P22" s="75">
        <v>1</v>
      </c>
      <c r="Q22" s="76"/>
      <c r="R22" s="77">
        <f t="shared" si="5"/>
        <v>-5</v>
      </c>
      <c r="S22" s="75"/>
      <c r="T22" s="79"/>
      <c r="U22" s="101">
        <f t="shared" si="0"/>
        <v>11.734900000000003</v>
      </c>
    </row>
    <row r="23" spans="1:21" ht="12.75">
      <c r="A23" s="2">
        <v>21</v>
      </c>
      <c r="B23" s="103" t="s">
        <v>41</v>
      </c>
      <c r="C23" s="74">
        <v>49.23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49.23</v>
      </c>
    </row>
    <row r="24" spans="1:21" ht="12.75">
      <c r="A24" s="2">
        <v>22</v>
      </c>
      <c r="B24" s="106" t="s">
        <v>64</v>
      </c>
      <c r="C24" s="88">
        <v>93.35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-8.2353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-4.2857</v>
      </c>
      <c r="P24" s="89">
        <v>1</v>
      </c>
      <c r="Q24" s="90"/>
      <c r="R24" s="91">
        <f t="shared" si="5"/>
        <v>-5</v>
      </c>
      <c r="S24" s="89"/>
      <c r="T24" s="93"/>
      <c r="U24" s="101">
        <f t="shared" si="0"/>
        <v>75.829</v>
      </c>
    </row>
    <row r="25" spans="1:21" ht="12.75">
      <c r="A25" s="2">
        <v>23</v>
      </c>
      <c r="B25" s="106" t="s">
        <v>45</v>
      </c>
      <c r="C25" s="88">
        <v>55.21</v>
      </c>
      <c r="D25" s="89">
        <v>1</v>
      </c>
      <c r="E25" s="90"/>
      <c r="F25" s="91">
        <f t="shared" si="1"/>
        <v>-11.1765</v>
      </c>
      <c r="G25" s="89">
        <v>1</v>
      </c>
      <c r="H25" s="90"/>
      <c r="I25" s="91">
        <f t="shared" si="2"/>
        <v>-8.2353</v>
      </c>
      <c r="J25" s="89">
        <v>1</v>
      </c>
      <c r="K25" s="90"/>
      <c r="L25" s="91">
        <f t="shared" si="3"/>
        <v>-7.1429</v>
      </c>
      <c r="M25" s="89">
        <v>1</v>
      </c>
      <c r="N25" s="90"/>
      <c r="O25" s="91">
        <f t="shared" si="4"/>
        <v>-4.2857</v>
      </c>
      <c r="P25" s="89">
        <v>1</v>
      </c>
      <c r="Q25" s="90"/>
      <c r="R25" s="91">
        <f t="shared" si="5"/>
        <v>-5</v>
      </c>
      <c r="S25" s="89"/>
      <c r="T25" s="93"/>
      <c r="U25" s="101">
        <f t="shared" si="0"/>
        <v>19.3696</v>
      </c>
    </row>
    <row r="26" spans="1:21" ht="12.75">
      <c r="A26" s="2">
        <v>24</v>
      </c>
      <c r="B26" s="106" t="s">
        <v>77</v>
      </c>
      <c r="C26" s="88">
        <v>36.87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-8.2353</v>
      </c>
      <c r="J26" s="89">
        <v>1</v>
      </c>
      <c r="K26" s="90"/>
      <c r="L26" s="91">
        <f t="shared" si="3"/>
        <v>-7.1429</v>
      </c>
      <c r="M26" s="89">
        <v>1</v>
      </c>
      <c r="N26" s="90"/>
      <c r="O26" s="91">
        <f t="shared" si="4"/>
        <v>-4.2857</v>
      </c>
      <c r="P26" s="89">
        <v>1</v>
      </c>
      <c r="Q26" s="90"/>
      <c r="R26" s="91">
        <f t="shared" si="5"/>
        <v>-5</v>
      </c>
      <c r="S26" s="94"/>
      <c r="T26" s="93"/>
      <c r="U26" s="101">
        <f t="shared" si="0"/>
        <v>12.206099999999992</v>
      </c>
    </row>
    <row r="27" spans="1:21" ht="12.75">
      <c r="A27" s="2">
        <v>25</v>
      </c>
      <c r="B27" s="104" t="s">
        <v>97</v>
      </c>
      <c r="C27" s="81"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v>50.69</v>
      </c>
      <c r="D28" s="86">
        <v>1</v>
      </c>
      <c r="E28" s="98"/>
      <c r="F28" s="84">
        <f t="shared" si="1"/>
        <v>-11.1765</v>
      </c>
      <c r="G28" s="86">
        <v>1</v>
      </c>
      <c r="H28" s="98"/>
      <c r="I28" s="84">
        <f t="shared" si="2"/>
        <v>-8.2353</v>
      </c>
      <c r="J28" s="86">
        <v>1</v>
      </c>
      <c r="K28" s="98"/>
      <c r="L28" s="84">
        <f t="shared" si="3"/>
        <v>-7.1429</v>
      </c>
      <c r="M28" s="86">
        <v>1</v>
      </c>
      <c r="N28" s="98"/>
      <c r="O28" s="84">
        <f t="shared" si="4"/>
        <v>-4.2857</v>
      </c>
      <c r="P28" s="86">
        <v>1</v>
      </c>
      <c r="Q28" s="98"/>
      <c r="R28" s="84">
        <f t="shared" si="5"/>
        <v>-5</v>
      </c>
      <c r="S28" s="86"/>
      <c r="T28" s="87"/>
      <c r="U28" s="101">
        <f t="shared" si="0"/>
        <v>14.849599999999988</v>
      </c>
    </row>
    <row r="29" spans="1:21" ht="12.75">
      <c r="A29" s="2">
        <v>27</v>
      </c>
      <c r="B29" s="104" t="s">
        <v>172</v>
      </c>
      <c r="C29" s="81">
        <v>97.94</v>
      </c>
      <c r="D29" s="82">
        <v>1</v>
      </c>
      <c r="E29" s="83"/>
      <c r="F29" s="84">
        <f t="shared" si="1"/>
        <v>-11.1765</v>
      </c>
      <c r="G29" s="82">
        <v>1</v>
      </c>
      <c r="H29" s="83"/>
      <c r="I29" s="84">
        <f t="shared" si="2"/>
        <v>-8.2353</v>
      </c>
      <c r="J29" s="82">
        <v>1</v>
      </c>
      <c r="K29" s="83"/>
      <c r="L29" s="84">
        <f t="shared" si="3"/>
        <v>-7.1429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108</v>
      </c>
      <c r="C30" s="60">
        <v>3.33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>
        <v>1</v>
      </c>
      <c r="N30" s="99"/>
      <c r="O30" s="63">
        <f>-4.2857*M30</f>
        <v>-4.2857</v>
      </c>
      <c r="P30" s="66">
        <v>1</v>
      </c>
      <c r="Q30" s="99"/>
      <c r="R30" s="63">
        <f t="shared" si="5"/>
        <v>-5</v>
      </c>
      <c r="S30" s="66"/>
      <c r="T30" s="65"/>
      <c r="U30" s="101">
        <f t="shared" si="0"/>
        <v>-5.9557</v>
      </c>
      <c r="V30" s="37"/>
    </row>
    <row r="31" spans="1:21" ht="12.75">
      <c r="A31" s="2">
        <v>29</v>
      </c>
      <c r="B31" s="105" t="s">
        <v>89</v>
      </c>
      <c r="C31" s="60">
        <v>68.5</v>
      </c>
      <c r="D31" s="61">
        <v>1</v>
      </c>
      <c r="E31" s="99"/>
      <c r="F31" s="63">
        <f>-11.1765*D31-30-10</f>
        <v>-51.176500000000004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>
        <v>1</v>
      </c>
      <c r="Q31" s="99"/>
      <c r="R31" s="63">
        <f>-5*P31-10</f>
        <v>-15</v>
      </c>
      <c r="S31" s="61"/>
      <c r="T31" s="65">
        <v>-14</v>
      </c>
      <c r="U31" s="101">
        <f t="shared" si="0"/>
        <v>-11.676500000000004</v>
      </c>
    </row>
    <row r="32" spans="1:21" ht="12.75">
      <c r="A32" s="2">
        <v>30</v>
      </c>
      <c r="B32" s="105" t="s">
        <v>166</v>
      </c>
      <c r="C32" s="60">
        <v>14.04</v>
      </c>
      <c r="D32" s="66">
        <v>1</v>
      </c>
      <c r="E32" s="99">
        <v>100</v>
      </c>
      <c r="F32" s="63">
        <f t="shared" si="1"/>
        <v>-11.1765</v>
      </c>
      <c r="G32" s="66">
        <v>1</v>
      </c>
      <c r="H32" s="99"/>
      <c r="I32" s="63">
        <f t="shared" si="2"/>
        <v>-8.2353</v>
      </c>
      <c r="J32" s="66"/>
      <c r="K32" s="99"/>
      <c r="L32" s="63">
        <f t="shared" si="3"/>
        <v>0</v>
      </c>
      <c r="M32" s="66">
        <v>1</v>
      </c>
      <c r="N32" s="99"/>
      <c r="O32" s="63">
        <f t="shared" si="4"/>
        <v>-4.2857</v>
      </c>
      <c r="P32" s="66">
        <v>1</v>
      </c>
      <c r="Q32" s="99"/>
      <c r="R32" s="63">
        <f t="shared" si="5"/>
        <v>-5</v>
      </c>
      <c r="S32" s="66"/>
      <c r="T32" s="65"/>
      <c r="U32" s="101">
        <f t="shared" si="0"/>
        <v>85.34249999999999</v>
      </c>
    </row>
    <row r="33" spans="1:21" ht="12.75">
      <c r="A33" s="2">
        <v>31</v>
      </c>
      <c r="B33" s="102" t="s">
        <v>167</v>
      </c>
      <c r="C33" s="67">
        <v>52.59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52.59</v>
      </c>
    </row>
    <row r="34" spans="1:21" ht="12.75">
      <c r="A34" s="2">
        <v>32</v>
      </c>
      <c r="B34" s="102" t="s">
        <v>106</v>
      </c>
      <c r="C34" s="67">
        <v>69.6</v>
      </c>
      <c r="D34" s="68">
        <v>1</v>
      </c>
      <c r="E34" s="69"/>
      <c r="F34" s="70">
        <f t="shared" si="1"/>
        <v>-11.1765</v>
      </c>
      <c r="G34" s="68">
        <v>1</v>
      </c>
      <c r="H34" s="69"/>
      <c r="I34" s="70">
        <f t="shared" si="2"/>
        <v>-8.2353</v>
      </c>
      <c r="J34" s="68">
        <v>1</v>
      </c>
      <c r="K34" s="69"/>
      <c r="L34" s="70">
        <f t="shared" si="3"/>
        <v>-7.1429</v>
      </c>
      <c r="M34" s="68">
        <v>1</v>
      </c>
      <c r="N34" s="69"/>
      <c r="O34" s="70">
        <f t="shared" si="4"/>
        <v>-4.2857</v>
      </c>
      <c r="P34" s="68">
        <v>1</v>
      </c>
      <c r="Q34" s="69"/>
      <c r="R34" s="70">
        <f t="shared" si="5"/>
        <v>-5</v>
      </c>
      <c r="S34" s="73"/>
      <c r="T34" s="72"/>
      <c r="U34" s="101">
        <f t="shared" si="0"/>
        <v>33.75959999999999</v>
      </c>
    </row>
    <row r="35" spans="1:21" ht="12.75">
      <c r="A35" s="2">
        <v>33</v>
      </c>
      <c r="B35" s="102" t="s">
        <v>168</v>
      </c>
      <c r="C35" s="67">
        <v>86.03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>
        <v>1</v>
      </c>
      <c r="N35" s="69"/>
      <c r="O35" s="70">
        <f t="shared" si="4"/>
        <v>-4.2857</v>
      </c>
      <c r="P35" s="68">
        <v>1</v>
      </c>
      <c r="Q35" s="69"/>
      <c r="R35" s="70">
        <f t="shared" si="5"/>
        <v>-5</v>
      </c>
      <c r="S35" s="68"/>
      <c r="T35" s="72"/>
      <c r="U35" s="101">
        <f t="shared" si="0"/>
        <v>69.6014</v>
      </c>
    </row>
    <row r="36" spans="1:21" ht="12.75">
      <c r="A36" s="2">
        <v>34</v>
      </c>
      <c r="B36" s="103" t="s">
        <v>109</v>
      </c>
      <c r="C36" s="74"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0"/>
        <v>38.13</v>
      </c>
    </row>
    <row r="37" spans="1:22" ht="12.75">
      <c r="A37" s="2">
        <v>35</v>
      </c>
      <c r="B37" s="103" t="s">
        <v>116</v>
      </c>
      <c r="C37" s="74">
        <v>29.79</v>
      </c>
      <c r="D37" s="75"/>
      <c r="E37" s="76"/>
      <c r="F37" s="77">
        <f t="shared" si="1"/>
        <v>0</v>
      </c>
      <c r="G37" s="75"/>
      <c r="H37" s="76"/>
      <c r="I37" s="77">
        <f t="shared" si="2"/>
        <v>0</v>
      </c>
      <c r="J37" s="75">
        <v>3</v>
      </c>
      <c r="K37" s="76"/>
      <c r="L37" s="77">
        <f t="shared" si="3"/>
        <v>-21.4287</v>
      </c>
      <c r="M37" s="75">
        <v>1</v>
      </c>
      <c r="N37" s="76">
        <v>100</v>
      </c>
      <c r="O37" s="77">
        <f t="shared" si="4"/>
        <v>-4.2857</v>
      </c>
      <c r="P37" s="75">
        <v>1</v>
      </c>
      <c r="Q37" s="76"/>
      <c r="R37" s="77">
        <f t="shared" si="5"/>
        <v>-5</v>
      </c>
      <c r="S37" s="75"/>
      <c r="T37" s="79"/>
      <c r="U37" s="101">
        <f t="shared" si="0"/>
        <v>99.0756</v>
      </c>
      <c r="V37" s="37"/>
    </row>
    <row r="38" spans="1:21" ht="12.75">
      <c r="A38" s="2">
        <v>36</v>
      </c>
      <c r="B38" s="103" t="s">
        <v>169</v>
      </c>
      <c r="C38" s="74">
        <v>83.93</v>
      </c>
      <c r="D38" s="75">
        <v>1</v>
      </c>
      <c r="E38" s="76"/>
      <c r="F38" s="77">
        <f t="shared" si="1"/>
        <v>-11.1765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-7.1429</v>
      </c>
      <c r="M38" s="75">
        <v>1</v>
      </c>
      <c r="N38" s="76"/>
      <c r="O38" s="77">
        <f>-4.2857*M38-10</f>
        <v>-14.2857</v>
      </c>
      <c r="P38" s="75">
        <v>2</v>
      </c>
      <c r="Q38" s="76"/>
      <c r="R38" s="77">
        <f t="shared" si="5"/>
        <v>-10</v>
      </c>
      <c r="S38" s="80"/>
      <c r="T38" s="79"/>
      <c r="U38" s="101">
        <f t="shared" si="0"/>
        <v>41.32490000000001</v>
      </c>
    </row>
    <row r="39" spans="1:21" ht="12.75">
      <c r="A39" s="2">
        <v>37</v>
      </c>
      <c r="B39" s="106" t="s">
        <v>117</v>
      </c>
      <c r="C39" s="88">
        <v>95.71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>
        <v>1</v>
      </c>
      <c r="K39" s="90"/>
      <c r="L39" s="91">
        <f t="shared" si="3"/>
        <v>-7.1429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>
        <v>-14</v>
      </c>
      <c r="U39" s="101">
        <f t="shared" si="0"/>
        <v>74.5671</v>
      </c>
    </row>
    <row r="40" spans="1:21" ht="12.75">
      <c r="A40" s="2">
        <v>38</v>
      </c>
      <c r="B40" s="106" t="s">
        <v>125</v>
      </c>
      <c r="C40" s="88">
        <v>27.59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>
        <v>1</v>
      </c>
      <c r="N40" s="90"/>
      <c r="O40" s="91">
        <f t="shared" si="4"/>
        <v>-4.2857</v>
      </c>
      <c r="P40" s="89"/>
      <c r="Q40" s="90"/>
      <c r="R40" s="91">
        <f t="shared" si="5"/>
        <v>0</v>
      </c>
      <c r="S40" s="89"/>
      <c r="T40" s="93"/>
      <c r="U40" s="101">
        <f t="shared" si="0"/>
        <v>23.304299999999998</v>
      </c>
    </row>
    <row r="41" spans="1:21" ht="12.75">
      <c r="A41" s="2">
        <v>39</v>
      </c>
      <c r="B41" s="106" t="s">
        <v>146</v>
      </c>
      <c r="C41" s="88">
        <v>16.53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0"/>
        <v>16.53</v>
      </c>
    </row>
    <row r="42" spans="1:21" ht="12.75">
      <c r="A42" s="2">
        <v>40</v>
      </c>
      <c r="B42" s="104" t="s">
        <v>150</v>
      </c>
      <c r="C42" s="81">
        <v>27.08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>
        <v>1</v>
      </c>
      <c r="Q42" s="98"/>
      <c r="R42" s="84">
        <f t="shared" si="5"/>
        <v>-5</v>
      </c>
      <c r="S42" s="82"/>
      <c r="T42" s="87"/>
      <c r="U42" s="101">
        <f t="shared" si="0"/>
        <v>22.08</v>
      </c>
    </row>
    <row r="43" spans="1:21" ht="12.75">
      <c r="A43" s="2">
        <v>41</v>
      </c>
      <c r="B43" s="104" t="s">
        <v>151</v>
      </c>
      <c r="C43" s="81">
        <v>0</v>
      </c>
      <c r="D43" s="86">
        <v>1</v>
      </c>
      <c r="E43" s="98">
        <v>50</v>
      </c>
      <c r="F43" s="84">
        <f>-11.1765*D43-10</f>
        <v>-21.1765</v>
      </c>
      <c r="G43" s="86">
        <v>1</v>
      </c>
      <c r="H43" s="98"/>
      <c r="I43" s="84">
        <f t="shared" si="2"/>
        <v>-8.2353</v>
      </c>
      <c r="J43" s="86">
        <v>1</v>
      </c>
      <c r="K43" s="98"/>
      <c r="L43" s="84">
        <f t="shared" si="3"/>
        <v>-7.1429</v>
      </c>
      <c r="M43" s="86">
        <v>1</v>
      </c>
      <c r="N43" s="98"/>
      <c r="O43" s="84">
        <f>-4.2857*M43-10</f>
        <v>-14.2857</v>
      </c>
      <c r="P43" s="86"/>
      <c r="Q43" s="98"/>
      <c r="R43" s="84">
        <f t="shared" si="5"/>
        <v>0</v>
      </c>
      <c r="S43" s="86"/>
      <c r="T43" s="87"/>
      <c r="U43" s="101">
        <f t="shared" si="0"/>
        <v>-0.8404000000000007</v>
      </c>
    </row>
    <row r="44" spans="1:21" ht="12.75">
      <c r="A44" s="2">
        <v>42</v>
      </c>
      <c r="B44" s="104" t="s">
        <v>156</v>
      </c>
      <c r="C44" s="81"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0"/>
        <v>84.96</v>
      </c>
    </row>
    <row r="45" spans="1:21" ht="12.75">
      <c r="A45" s="2">
        <v>43</v>
      </c>
      <c r="B45" s="105" t="s">
        <v>157</v>
      </c>
      <c r="C45" s="60">
        <v>23.56</v>
      </c>
      <c r="D45" s="66"/>
      <c r="E45" s="99"/>
      <c r="F45" s="63">
        <f t="shared" si="1"/>
        <v>0</v>
      </c>
      <c r="G45" s="66">
        <v>1</v>
      </c>
      <c r="H45" s="99"/>
      <c r="I45" s="63">
        <f t="shared" si="2"/>
        <v>-8.2353</v>
      </c>
      <c r="J45" s="66"/>
      <c r="K45" s="99"/>
      <c r="L45" s="63">
        <f t="shared" si="3"/>
        <v>0</v>
      </c>
      <c r="M45" s="66">
        <v>1</v>
      </c>
      <c r="N45" s="99"/>
      <c r="O45" s="63">
        <f t="shared" si="4"/>
        <v>-4.2857</v>
      </c>
      <c r="P45" s="66">
        <v>1</v>
      </c>
      <c r="Q45" s="99"/>
      <c r="R45" s="63">
        <f t="shared" si="5"/>
        <v>-5</v>
      </c>
      <c r="S45" s="66"/>
      <c r="T45" s="65"/>
      <c r="U45" s="101">
        <f t="shared" si="0"/>
        <v>6.038999999999998</v>
      </c>
    </row>
    <row r="46" spans="1:21" ht="12.75">
      <c r="A46" s="2">
        <v>44</v>
      </c>
      <c r="B46" s="109">
        <v>9631</v>
      </c>
      <c r="C46" s="60">
        <v>53.39</v>
      </c>
      <c r="D46" s="61">
        <v>1</v>
      </c>
      <c r="E46" s="99"/>
      <c r="F46" s="63">
        <f t="shared" si="1"/>
        <v>-11.1765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-4.2857</v>
      </c>
      <c r="P46" s="61">
        <v>1</v>
      </c>
      <c r="Q46" s="99"/>
      <c r="R46" s="63">
        <f t="shared" si="5"/>
        <v>-5</v>
      </c>
      <c r="S46" s="61"/>
      <c r="T46" s="65"/>
      <c r="U46" s="101">
        <f t="shared" si="0"/>
        <v>32.9278</v>
      </c>
    </row>
    <row r="47" spans="1:21" ht="12.75">
      <c r="A47" s="2">
        <v>45</v>
      </c>
      <c r="B47" s="105" t="s">
        <v>173</v>
      </c>
      <c r="C47" s="60">
        <v>0.16</v>
      </c>
      <c r="D47" s="66"/>
      <c r="E47" s="99"/>
      <c r="F47" s="63">
        <f t="shared" si="1"/>
        <v>0</v>
      </c>
      <c r="G47" s="66"/>
      <c r="H47" s="99"/>
      <c r="I47" s="63">
        <f t="shared" si="2"/>
        <v>0</v>
      </c>
      <c r="J47" s="66"/>
      <c r="K47" s="99"/>
      <c r="L47" s="63">
        <f t="shared" si="3"/>
        <v>0</v>
      </c>
      <c r="M47" s="66">
        <v>1</v>
      </c>
      <c r="N47" s="99">
        <v>100</v>
      </c>
      <c r="O47" s="63">
        <f t="shared" si="4"/>
        <v>-4.2857</v>
      </c>
      <c r="P47" s="66">
        <v>1</v>
      </c>
      <c r="Q47" s="99"/>
      <c r="R47" s="63">
        <f t="shared" si="5"/>
        <v>-5</v>
      </c>
      <c r="S47" s="66"/>
      <c r="T47" s="65"/>
      <c r="U47" s="101">
        <f t="shared" si="0"/>
        <v>90.87429999999999</v>
      </c>
    </row>
    <row r="48" spans="1:21" ht="12.75">
      <c r="A48" s="2">
        <v>46</v>
      </c>
      <c r="B48" s="102" t="s">
        <v>249</v>
      </c>
      <c r="C48" s="67">
        <v>47.22</v>
      </c>
      <c r="D48" s="68"/>
      <c r="E48" s="69"/>
      <c r="F48" s="70">
        <f t="shared" si="1"/>
        <v>0</v>
      </c>
      <c r="G48" s="68">
        <v>1</v>
      </c>
      <c r="H48" s="69"/>
      <c r="I48" s="70">
        <f>-8.2353*G48-10</f>
        <v>-18.235300000000002</v>
      </c>
      <c r="J48" s="68">
        <v>1</v>
      </c>
      <c r="K48" s="69"/>
      <c r="L48" s="70">
        <f t="shared" si="3"/>
        <v>-7.1429</v>
      </c>
      <c r="M48" s="68">
        <v>1</v>
      </c>
      <c r="N48" s="69"/>
      <c r="O48" s="70">
        <f>-4.2857*M48-10</f>
        <v>-14.2857</v>
      </c>
      <c r="P48" s="68">
        <v>1</v>
      </c>
      <c r="Q48" s="69"/>
      <c r="R48" s="70">
        <f t="shared" si="5"/>
        <v>-5</v>
      </c>
      <c r="S48" s="68"/>
      <c r="T48" s="72"/>
      <c r="U48" s="101">
        <f t="shared" si="0"/>
        <v>2.5560999999999954</v>
      </c>
    </row>
    <row r="49" spans="1:21" ht="12.75">
      <c r="A49" s="2">
        <v>47</v>
      </c>
      <c r="B49" s="102" t="s">
        <v>260</v>
      </c>
      <c r="C49" s="67">
        <v>79.5</v>
      </c>
      <c r="D49" s="68">
        <v>1</v>
      </c>
      <c r="E49" s="69"/>
      <c r="F49" s="70">
        <f t="shared" si="1"/>
        <v>-11.1765</v>
      </c>
      <c r="G49" s="68">
        <v>1</v>
      </c>
      <c r="H49" s="69"/>
      <c r="I49" s="70">
        <f t="shared" si="2"/>
        <v>-8.2353</v>
      </c>
      <c r="J49" s="68"/>
      <c r="K49" s="69"/>
      <c r="L49" s="70">
        <f t="shared" si="3"/>
        <v>0</v>
      </c>
      <c r="M49" s="68">
        <v>1</v>
      </c>
      <c r="N49" s="69"/>
      <c r="O49" s="70">
        <f t="shared" si="4"/>
        <v>-4.2857</v>
      </c>
      <c r="P49" s="68"/>
      <c r="Q49" s="69"/>
      <c r="R49" s="70">
        <f t="shared" si="5"/>
        <v>0</v>
      </c>
      <c r="S49" s="73"/>
      <c r="T49" s="72"/>
      <c r="U49" s="101">
        <f t="shared" si="0"/>
        <v>55.802499999999995</v>
      </c>
    </row>
    <row r="50" spans="1:21" ht="12.75">
      <c r="A50" s="2">
        <v>48</v>
      </c>
      <c r="B50" s="102" t="s">
        <v>265</v>
      </c>
      <c r="C50" s="67">
        <v>0</v>
      </c>
      <c r="D50" s="68">
        <v>1</v>
      </c>
      <c r="E50" s="69">
        <v>100</v>
      </c>
      <c r="F50" s="70">
        <f t="shared" si="1"/>
        <v>-11.1765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>
        <v>-14</v>
      </c>
      <c r="U50" s="101">
        <f t="shared" si="0"/>
        <v>74.8235</v>
      </c>
    </row>
    <row r="51" spans="1:21" ht="12.75">
      <c r="A51" s="2">
        <v>49</v>
      </c>
      <c r="B51" s="43" t="s">
        <v>272</v>
      </c>
      <c r="C51" s="74">
        <v>0</v>
      </c>
      <c r="D51" s="75"/>
      <c r="E51" s="96"/>
      <c r="F51" s="77"/>
      <c r="G51" s="75"/>
      <c r="H51" s="96"/>
      <c r="I51" s="77"/>
      <c r="J51" s="75"/>
      <c r="K51" s="96"/>
      <c r="L51" s="77"/>
      <c r="M51" s="75">
        <v>2</v>
      </c>
      <c r="N51" s="96">
        <v>100</v>
      </c>
      <c r="O51" s="77">
        <f t="shared" si="4"/>
        <v>-8.5714</v>
      </c>
      <c r="P51" s="75">
        <v>1</v>
      </c>
      <c r="Q51" s="96"/>
      <c r="R51" s="77">
        <f>-5*P51-10</f>
        <v>-15</v>
      </c>
      <c r="S51" s="80"/>
      <c r="T51" s="79"/>
      <c r="U51" s="101">
        <f t="shared" si="0"/>
        <v>76.4286</v>
      </c>
    </row>
    <row r="52" spans="1:21" ht="12.75">
      <c r="A52" s="2">
        <v>50</v>
      </c>
      <c r="B52" s="43" t="s">
        <v>273</v>
      </c>
      <c r="C52" s="74">
        <v>0</v>
      </c>
      <c r="D52" s="80"/>
      <c r="E52" s="96"/>
      <c r="F52" s="77"/>
      <c r="G52" s="80"/>
      <c r="H52" s="96"/>
      <c r="I52" s="77"/>
      <c r="J52" s="80"/>
      <c r="K52" s="96"/>
      <c r="L52" s="77"/>
      <c r="M52" s="80">
        <v>2</v>
      </c>
      <c r="N52" s="96">
        <v>100</v>
      </c>
      <c r="O52" s="77">
        <f t="shared" si="4"/>
        <v>-8.5714</v>
      </c>
      <c r="P52" s="80">
        <v>1</v>
      </c>
      <c r="Q52" s="96"/>
      <c r="R52" s="77">
        <f>-5*P52-10</f>
        <v>-15</v>
      </c>
      <c r="S52" s="75"/>
      <c r="T52" s="79"/>
      <c r="U52" s="101">
        <f t="shared" si="0"/>
        <v>76.4286</v>
      </c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50</v>
      </c>
      <c r="D54" s="1">
        <f>SUM(D3:D52)</f>
        <v>17</v>
      </c>
      <c r="F54" s="1">
        <f>E65/D54</f>
        <v>11.176470588235293</v>
      </c>
      <c r="G54" s="1">
        <f>SUM(G3:G52)</f>
        <v>17</v>
      </c>
      <c r="I54" s="1">
        <f>H65/G54</f>
        <v>8.235294117647058</v>
      </c>
      <c r="J54" s="1">
        <f>SUM(J3:J52)</f>
        <v>21</v>
      </c>
      <c r="L54" s="1">
        <f>K65/J54</f>
        <v>7.142857142857143</v>
      </c>
      <c r="M54" s="1">
        <f>SUM(M3:M52)</f>
        <v>28</v>
      </c>
      <c r="O54" s="1">
        <f>N65/M54</f>
        <v>4.285714285714286</v>
      </c>
      <c r="P54" s="1">
        <f>SUM(P3:P52)</f>
        <v>24</v>
      </c>
      <c r="R54" s="1">
        <f>Q65/P54</f>
        <v>5</v>
      </c>
      <c r="S54" s="1">
        <f>SUM(S3:S53)</f>
        <v>0</v>
      </c>
      <c r="T54" s="36">
        <f>SUM(T3:T50)</f>
        <v>-56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-250.00050000000007</v>
      </c>
      <c r="H56" s="37" t="s">
        <v>118</v>
      </c>
      <c r="I56" s="1">
        <f>SUM(I3:I52)</f>
        <v>-150.00009999999997</v>
      </c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-149.99960000000004</v>
      </c>
      <c r="Q56" s="37" t="s">
        <v>118</v>
      </c>
      <c r="R56" s="1">
        <f>SUM(R3:R52)</f>
        <v>-150</v>
      </c>
      <c r="U56" s="24"/>
    </row>
    <row r="57" spans="2:21" ht="12.75">
      <c r="B57" s="41" t="s">
        <v>60</v>
      </c>
      <c r="C57" s="36">
        <f>SUM(C3:C52)</f>
        <v>2615.9999999999995</v>
      </c>
      <c r="E57" s="41"/>
      <c r="H57" s="41"/>
      <c r="K57" s="41"/>
      <c r="N57" s="41"/>
      <c r="Q57" s="41"/>
      <c r="U57" s="24"/>
    </row>
    <row r="58" spans="19:21" ht="12.75">
      <c r="S58" s="151" t="s">
        <v>8</v>
      </c>
      <c r="T58" s="151"/>
      <c r="U58" s="56">
        <f>SUM(U3:U52)</f>
        <v>2559.9989</v>
      </c>
    </row>
    <row r="59" spans="4:18" ht="12.75" customHeight="1">
      <c r="D59" s="155" t="s">
        <v>262</v>
      </c>
      <c r="E59" s="161"/>
      <c r="F59" s="162"/>
      <c r="G59" s="155" t="s">
        <v>266</v>
      </c>
      <c r="H59" s="161"/>
      <c r="I59" s="162"/>
      <c r="J59" s="155" t="s">
        <v>267</v>
      </c>
      <c r="K59" s="161"/>
      <c r="L59" s="162"/>
      <c r="M59" s="155" t="s">
        <v>269</v>
      </c>
      <c r="N59" s="161"/>
      <c r="O59" s="162"/>
      <c r="P59" s="155" t="s">
        <v>275</v>
      </c>
      <c r="Q59" s="161"/>
      <c r="R59" s="162"/>
    </row>
    <row r="60" spans="4:18" ht="12.75">
      <c r="D60" s="163"/>
      <c r="E60" s="164"/>
      <c r="F60" s="165"/>
      <c r="G60" s="163"/>
      <c r="H60" s="164"/>
      <c r="I60" s="165"/>
      <c r="J60" s="163"/>
      <c r="K60" s="164"/>
      <c r="L60" s="165"/>
      <c r="M60" s="163"/>
      <c r="N60" s="164"/>
      <c r="O60" s="165"/>
      <c r="P60" s="163"/>
      <c r="Q60" s="164"/>
      <c r="R60" s="165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261</v>
      </c>
      <c r="E65" s="50">
        <f>E67-E83-E91-30</f>
        <v>190</v>
      </c>
      <c r="F65" s="51"/>
      <c r="G65" s="52" t="s">
        <v>261</v>
      </c>
      <c r="H65" s="50">
        <f>150-H83-H90</f>
        <v>140</v>
      </c>
      <c r="I65" s="51"/>
      <c r="J65" s="52" t="s">
        <v>261</v>
      </c>
      <c r="K65" s="50">
        <f>K67-K83-K91</f>
        <v>150</v>
      </c>
      <c r="L65" s="51"/>
      <c r="M65" s="52" t="s">
        <v>261</v>
      </c>
      <c r="N65" s="50">
        <f>N67-N83-N91</f>
        <v>120</v>
      </c>
      <c r="O65" s="51"/>
      <c r="P65" s="52" t="s">
        <v>261</v>
      </c>
      <c r="Q65" s="50">
        <f>Q67-Q83-Q91</f>
        <v>120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19</v>
      </c>
      <c r="E67" s="54">
        <f>250</f>
        <v>250</v>
      </c>
      <c r="F67" s="55"/>
      <c r="G67" s="110" t="s">
        <v>19</v>
      </c>
      <c r="H67" s="54">
        <f>150</f>
        <v>150</v>
      </c>
      <c r="I67" s="55"/>
      <c r="J67" s="110" t="s">
        <v>19</v>
      </c>
      <c r="K67" s="54">
        <f>150</f>
        <v>150</v>
      </c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6" ht="12.75">
      <c r="D71" s="37"/>
      <c r="G71" s="37"/>
      <c r="J71" s="37"/>
      <c r="M71" s="37"/>
      <c r="P71" s="37"/>
    </row>
    <row r="73" spans="4:18" ht="12.75" customHeight="1">
      <c r="D73" s="149" t="s">
        <v>264</v>
      </c>
      <c r="E73" s="150"/>
      <c r="F73" s="150"/>
      <c r="G73" s="149"/>
      <c r="H73" s="150"/>
      <c r="I73" s="150"/>
      <c r="J73" s="149" t="s">
        <v>268</v>
      </c>
      <c r="K73" s="150"/>
      <c r="L73" s="150"/>
      <c r="M73" s="149"/>
      <c r="N73" s="150"/>
      <c r="O73" s="150"/>
      <c r="P73" s="149"/>
      <c r="Q73" s="150"/>
      <c r="R73" s="150"/>
    </row>
    <row r="74" spans="4:18" ht="12.75"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</row>
    <row r="75" spans="4:18" ht="59.25" customHeight="1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</row>
    <row r="76" spans="4:18" ht="12.75">
      <c r="D76" s="149"/>
      <c r="E76" s="150"/>
      <c r="F76" s="150"/>
      <c r="G76" s="149"/>
      <c r="H76" s="150"/>
      <c r="I76" s="150"/>
      <c r="J76" s="149"/>
      <c r="K76" s="150"/>
      <c r="L76" s="150"/>
      <c r="M76" s="149"/>
      <c r="N76" s="150"/>
      <c r="O76" s="150"/>
      <c r="P76" s="149"/>
      <c r="Q76" s="150"/>
      <c r="R76" s="150"/>
    </row>
    <row r="77" spans="4:18" ht="12.75"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</row>
    <row r="78" spans="4:18" ht="21.75" customHeight="1"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</row>
    <row r="79" spans="4:17" ht="12.75">
      <c r="D79" s="153" t="s">
        <v>81</v>
      </c>
      <c r="E79" s="154"/>
      <c r="G79" s="153" t="s">
        <v>81</v>
      </c>
      <c r="H79" s="154"/>
      <c r="J79" s="153" t="s">
        <v>81</v>
      </c>
      <c r="K79" s="154"/>
      <c r="M79" s="153" t="s">
        <v>81</v>
      </c>
      <c r="N79" s="154"/>
      <c r="P79" s="153" t="s">
        <v>81</v>
      </c>
      <c r="Q79" s="154"/>
    </row>
    <row r="80" spans="4:16" ht="12.75" customHeight="1">
      <c r="D80" s="37"/>
      <c r="G80" s="37"/>
      <c r="J80" s="37"/>
      <c r="M80" s="37"/>
      <c r="P80" s="37"/>
    </row>
    <row r="81" spans="4:17" ht="12.75" customHeight="1">
      <c r="D81" s="107" t="s">
        <v>89</v>
      </c>
      <c r="E81" s="1">
        <v>10</v>
      </c>
      <c r="G81" s="107" t="s">
        <v>249</v>
      </c>
      <c r="H81" s="1">
        <v>10</v>
      </c>
      <c r="J81" s="107"/>
      <c r="M81" s="107" t="s">
        <v>249</v>
      </c>
      <c r="N81" s="1">
        <v>10</v>
      </c>
      <c r="P81" s="107" t="s">
        <v>89</v>
      </c>
      <c r="Q81" s="1">
        <v>10</v>
      </c>
    </row>
    <row r="82" spans="4:17" ht="24.75">
      <c r="D82" s="107" t="s">
        <v>263</v>
      </c>
      <c r="E82" s="1">
        <v>10</v>
      </c>
      <c r="G82" s="107"/>
      <c r="J82" s="107"/>
      <c r="M82" s="107"/>
      <c r="P82" s="107" t="s">
        <v>273</v>
      </c>
      <c r="Q82" s="1">
        <v>10</v>
      </c>
    </row>
    <row r="83" spans="5:17" ht="12.75">
      <c r="E83" s="37">
        <f>SUM(E81:E82)</f>
        <v>20</v>
      </c>
      <c r="H83" s="37">
        <f>SUM(H81:H82)</f>
        <v>10</v>
      </c>
      <c r="K83" s="37">
        <f>SUM(K81:K82)</f>
        <v>0</v>
      </c>
      <c r="N83" s="37">
        <f>SUM(N81:N82)</f>
        <v>10</v>
      </c>
      <c r="Q83" s="37">
        <f>SUM(Q81:Q82)</f>
        <v>20</v>
      </c>
    </row>
    <row r="84" spans="5:17" ht="12.75">
      <c r="E84" s="37"/>
      <c r="H84" s="37"/>
      <c r="K84" s="37"/>
      <c r="N84" s="37"/>
      <c r="Q84" s="37"/>
    </row>
    <row r="86" spans="4:17" ht="12.75" customHeight="1">
      <c r="D86" s="153" t="s">
        <v>82</v>
      </c>
      <c r="E86" s="154"/>
      <c r="G86" s="153" t="s">
        <v>82</v>
      </c>
      <c r="H86" s="154"/>
      <c r="J86" s="153" t="s">
        <v>82</v>
      </c>
      <c r="K86" s="154"/>
      <c r="M86" s="153" t="s">
        <v>82</v>
      </c>
      <c r="N86" s="154"/>
      <c r="P86" s="153" t="s">
        <v>82</v>
      </c>
      <c r="Q86" s="154"/>
    </row>
    <row r="87" spans="4:16" ht="12.75">
      <c r="D87" s="37"/>
      <c r="G87" s="37"/>
      <c r="J87" s="37"/>
      <c r="M87" s="37"/>
      <c r="P87" s="37"/>
    </row>
    <row r="88" spans="4:17" ht="24.75">
      <c r="D88" s="107" t="s">
        <v>88</v>
      </c>
      <c r="E88" s="1">
        <v>10</v>
      </c>
      <c r="G88" s="153" t="s">
        <v>155</v>
      </c>
      <c r="H88" s="153"/>
      <c r="J88" s="107"/>
      <c r="M88" s="107" t="s">
        <v>263</v>
      </c>
      <c r="N88" s="1">
        <v>10</v>
      </c>
      <c r="P88" s="107" t="s">
        <v>272</v>
      </c>
      <c r="Q88" s="1">
        <v>10</v>
      </c>
    </row>
    <row r="89" spans="4:16" ht="12.75">
      <c r="D89" s="37"/>
      <c r="J89" s="37"/>
      <c r="M89" s="37" t="s">
        <v>270</v>
      </c>
      <c r="N89" s="1">
        <v>10</v>
      </c>
      <c r="P89" s="37"/>
    </row>
    <row r="91" spans="5:17" ht="12.75">
      <c r="E91" s="1">
        <f>SUM(E88:E90)</f>
        <v>10</v>
      </c>
      <c r="K91" s="1">
        <f>SUM(K88:K90)</f>
        <v>0</v>
      </c>
      <c r="N91" s="1">
        <f>SUM(N88:N90)</f>
        <v>20</v>
      </c>
      <c r="Q91" s="1">
        <f>SUM(Q88:Q90)</f>
        <v>10</v>
      </c>
    </row>
    <row r="93" spans="4:18" ht="12.75" customHeight="1">
      <c r="D93" s="152" t="s">
        <v>107</v>
      </c>
      <c r="E93" s="152"/>
      <c r="F93" s="152"/>
      <c r="G93" s="152" t="s">
        <v>107</v>
      </c>
      <c r="H93" s="152"/>
      <c r="I93" s="152"/>
      <c r="J93" s="152" t="s">
        <v>107</v>
      </c>
      <c r="K93" s="152"/>
      <c r="L93" s="152"/>
      <c r="M93" s="152" t="s">
        <v>107</v>
      </c>
      <c r="N93" s="152"/>
      <c r="O93" s="152"/>
      <c r="P93" s="152" t="s">
        <v>107</v>
      </c>
      <c r="Q93" s="152"/>
      <c r="R93" s="152"/>
    </row>
    <row r="94" spans="4:18" ht="12.75"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</row>
    <row r="95" spans="4:18" ht="12.75"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4:18" ht="24.75">
      <c r="D96" s="37"/>
      <c r="E96" s="59"/>
      <c r="F96" s="59"/>
      <c r="G96" s="37"/>
      <c r="J96" s="37"/>
      <c r="M96" s="107" t="s">
        <v>108</v>
      </c>
      <c r="O96" s="59"/>
      <c r="P96" s="107" t="s">
        <v>108</v>
      </c>
      <c r="Q96" s="37" t="s">
        <v>150</v>
      </c>
      <c r="R96" s="59"/>
    </row>
    <row r="97" spans="4:18" ht="12.75">
      <c r="D97" s="107"/>
      <c r="E97" s="59"/>
      <c r="F97" s="59"/>
      <c r="G97" s="37"/>
      <c r="J97" s="37"/>
      <c r="M97" s="107" t="s">
        <v>271</v>
      </c>
      <c r="O97" s="59"/>
      <c r="P97" s="107" t="s">
        <v>276</v>
      </c>
      <c r="Q97" s="37" t="s">
        <v>254</v>
      </c>
      <c r="R97" s="59"/>
    </row>
    <row r="98" spans="4:16" ht="12.75">
      <c r="D98" s="156"/>
      <c r="E98" s="156"/>
      <c r="F98" s="156"/>
      <c r="G98" s="156"/>
      <c r="H98" s="154"/>
      <c r="I98" s="154"/>
      <c r="J98" s="156"/>
      <c r="K98" s="154"/>
      <c r="L98" s="154"/>
      <c r="M98" s="156" t="s">
        <v>274</v>
      </c>
      <c r="N98" s="154"/>
      <c r="O98" s="154"/>
      <c r="P98" s="1" t="s">
        <v>246</v>
      </c>
    </row>
    <row r="99" spans="4:15" ht="12.75">
      <c r="D99" s="156"/>
      <c r="E99" s="156"/>
      <c r="F99" s="156"/>
      <c r="G99" s="154"/>
      <c r="H99" s="154"/>
      <c r="I99" s="154"/>
      <c r="J99" s="154"/>
      <c r="K99" s="154"/>
      <c r="L99" s="154"/>
      <c r="M99" s="154"/>
      <c r="N99" s="154"/>
      <c r="O99" s="154"/>
    </row>
    <row r="100" spans="16:18" ht="12.75">
      <c r="P100" s="156" t="s">
        <v>274</v>
      </c>
      <c r="Q100" s="154"/>
      <c r="R100" s="154"/>
    </row>
    <row r="101" spans="16:18" ht="12.75">
      <c r="P101" s="154"/>
      <c r="Q101" s="154"/>
      <c r="R101" s="154"/>
    </row>
  </sheetData>
  <sheetProtection/>
  <mergeCells count="38">
    <mergeCell ref="G59:I63"/>
    <mergeCell ref="G73:I75"/>
    <mergeCell ref="J86:K86"/>
    <mergeCell ref="D1:F1"/>
    <mergeCell ref="D59:F63"/>
    <mergeCell ref="D73:F75"/>
    <mergeCell ref="D79:E79"/>
    <mergeCell ref="D76:F78"/>
    <mergeCell ref="S58:T58"/>
    <mergeCell ref="J59:L63"/>
    <mergeCell ref="J73:L75"/>
    <mergeCell ref="M59:O63"/>
    <mergeCell ref="M73:O75"/>
    <mergeCell ref="P59:R63"/>
    <mergeCell ref="P73:R75"/>
    <mergeCell ref="P100:R101"/>
    <mergeCell ref="M98:O99"/>
    <mergeCell ref="M93:O95"/>
    <mergeCell ref="G86:H86"/>
    <mergeCell ref="G93:I95"/>
    <mergeCell ref="J93:L95"/>
    <mergeCell ref="M86:N86"/>
    <mergeCell ref="P93:R95"/>
    <mergeCell ref="J98:L99"/>
    <mergeCell ref="G98:I99"/>
    <mergeCell ref="D98:F99"/>
    <mergeCell ref="D86:E86"/>
    <mergeCell ref="G79:H79"/>
    <mergeCell ref="M76:O78"/>
    <mergeCell ref="J76:L78"/>
    <mergeCell ref="G76:I78"/>
    <mergeCell ref="J79:K79"/>
    <mergeCell ref="M79:N79"/>
    <mergeCell ref="G88:H88"/>
    <mergeCell ref="P76:R78"/>
    <mergeCell ref="P79:Q79"/>
    <mergeCell ref="P86:Q86"/>
    <mergeCell ref="D93:F95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0">
      <selection activeCell="G41" sqref="G4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39879</v>
      </c>
      <c r="E1" s="158"/>
      <c r="F1" s="159"/>
      <c r="G1" s="18"/>
      <c r="H1" s="32">
        <v>39886</v>
      </c>
      <c r="I1" s="19"/>
      <c r="J1" s="44"/>
      <c r="K1" s="32">
        <v>39893</v>
      </c>
      <c r="L1" s="45"/>
      <c r="M1" s="18"/>
      <c r="N1" s="32">
        <v>39900</v>
      </c>
      <c r="O1" s="19"/>
      <c r="P1" s="18"/>
      <c r="Q1" s="32">
        <v>39872</v>
      </c>
      <c r="R1" s="19"/>
      <c r="S1" s="18"/>
      <c r="T1" s="111" t="s">
        <v>277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'2009年1月2月'!U3</f>
        <v>67.8196</v>
      </c>
      <c r="D3" s="68">
        <v>1</v>
      </c>
      <c r="E3" s="69"/>
      <c r="F3" s="70">
        <f>-5*D3</f>
        <v>-5</v>
      </c>
      <c r="G3" s="68">
        <v>1</v>
      </c>
      <c r="H3" s="69"/>
      <c r="I3" s="70">
        <f>-12.2727*G3</f>
        <v>-12.2727</v>
      </c>
      <c r="J3" s="68">
        <v>1</v>
      </c>
      <c r="K3" s="69"/>
      <c r="L3" s="70">
        <f>-7.7778*J3</f>
        <v>-7.7778</v>
      </c>
      <c r="M3" s="68">
        <v>1</v>
      </c>
      <c r="N3" s="69"/>
      <c r="O3" s="70">
        <f>-5.3846*M3</f>
        <v>-5.3846</v>
      </c>
      <c r="P3" s="68"/>
      <c r="Q3" s="69"/>
      <c r="R3" s="70"/>
      <c r="S3" s="68"/>
      <c r="T3" s="72"/>
      <c r="U3" s="101">
        <f aca="true" t="shared" si="0" ref="U3:U34">C3+E3+F3+H3+I3+K3+L3+N3+O3+T3+Q3+R3</f>
        <v>37.384499999999996</v>
      </c>
    </row>
    <row r="4" spans="1:21" ht="12.75">
      <c r="A4" s="2">
        <v>2</v>
      </c>
      <c r="B4" s="100" t="s">
        <v>3</v>
      </c>
      <c r="C4" s="67">
        <f>'2009年1月2月'!U4</f>
        <v>44.7543</v>
      </c>
      <c r="D4" s="68">
        <v>1</v>
      </c>
      <c r="E4" s="69"/>
      <c r="F4" s="70">
        <f>-5*D4</f>
        <v>-5</v>
      </c>
      <c r="G4" s="68">
        <v>1</v>
      </c>
      <c r="H4" s="69"/>
      <c r="I4" s="70">
        <f aca="true" t="shared" si="1" ref="I4:I52">-12.2727*G4</f>
        <v>-12.2727</v>
      </c>
      <c r="J4" s="68">
        <v>1</v>
      </c>
      <c r="K4" s="69"/>
      <c r="L4" s="70">
        <f aca="true" t="shared" si="2" ref="L4:L53">-7.7778*J4</f>
        <v>-7.7778</v>
      </c>
      <c r="M4" s="68">
        <v>1</v>
      </c>
      <c r="N4" s="69"/>
      <c r="O4" s="70">
        <f aca="true" t="shared" si="3" ref="O4:O53">-5.3846*M4</f>
        <v>-5.3846</v>
      </c>
      <c r="P4" s="68"/>
      <c r="Q4" s="69"/>
      <c r="R4" s="70"/>
      <c r="S4" s="73"/>
      <c r="T4" s="72"/>
      <c r="U4" s="101">
        <f t="shared" si="0"/>
        <v>14.319200000000002</v>
      </c>
    </row>
    <row r="5" spans="1:21" ht="12.75">
      <c r="A5" s="2">
        <v>3</v>
      </c>
      <c r="B5" s="102" t="s">
        <v>278</v>
      </c>
      <c r="C5" s="67">
        <f>'2009年1月2月'!U5</f>
        <v>102.95</v>
      </c>
      <c r="D5" s="68"/>
      <c r="E5" s="69"/>
      <c r="F5" s="70">
        <f aca="true" t="shared" si="4" ref="F5:F52">-5*D5</f>
        <v>0</v>
      </c>
      <c r="G5" s="68">
        <v>1</v>
      </c>
      <c r="H5" s="69"/>
      <c r="I5" s="70">
        <f t="shared" si="1"/>
        <v>-12.2727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0"/>
        <v>90.6773</v>
      </c>
    </row>
    <row r="6" spans="1:23" ht="12.75">
      <c r="A6" s="2">
        <v>4</v>
      </c>
      <c r="B6" s="103" t="s">
        <v>279</v>
      </c>
      <c r="C6" s="74">
        <f>'2009年1月2月'!U6</f>
        <v>65.9282</v>
      </c>
      <c r="D6" s="80"/>
      <c r="E6" s="76"/>
      <c r="F6" s="77">
        <f t="shared" si="4"/>
        <v>0</v>
      </c>
      <c r="G6" s="80"/>
      <c r="H6" s="76"/>
      <c r="I6" s="77">
        <f t="shared" si="1"/>
        <v>0</v>
      </c>
      <c r="J6" s="80"/>
      <c r="K6" s="76"/>
      <c r="L6" s="77">
        <f t="shared" si="2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280</v>
      </c>
      <c r="C7" s="74">
        <f>'2009年1月2月'!U7</f>
        <v>102.6949</v>
      </c>
      <c r="D7" s="75"/>
      <c r="E7" s="76"/>
      <c r="F7" s="77">
        <f t="shared" si="4"/>
        <v>0</v>
      </c>
      <c r="G7" s="75"/>
      <c r="H7" s="76"/>
      <c r="I7" s="77">
        <f t="shared" si="1"/>
        <v>0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281</v>
      </c>
      <c r="C8" s="74">
        <f>'2009年1月2月'!U8</f>
        <v>96.93</v>
      </c>
      <c r="D8" s="75"/>
      <c r="E8" s="76"/>
      <c r="F8" s="77">
        <f t="shared" si="4"/>
        <v>0</v>
      </c>
      <c r="G8" s="75"/>
      <c r="H8" s="76"/>
      <c r="I8" s="77">
        <f t="shared" si="1"/>
        <v>0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282</v>
      </c>
      <c r="C9" s="88">
        <f>'2009年1月2月'!U9</f>
        <v>63.68</v>
      </c>
      <c r="D9" s="89"/>
      <c r="E9" s="90"/>
      <c r="F9" s="91">
        <f t="shared" si="4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283</v>
      </c>
      <c r="C10" s="88">
        <f>'2009年1月2月'!U10</f>
        <v>50.14</v>
      </c>
      <c r="D10" s="94"/>
      <c r="E10" s="90"/>
      <c r="F10" s="91">
        <f t="shared" si="4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284</v>
      </c>
      <c r="C11" s="88">
        <f>'2009年1月2月'!U11</f>
        <v>84.48</v>
      </c>
      <c r="D11" s="89"/>
      <c r="E11" s="90"/>
      <c r="F11" s="91">
        <f t="shared" si="4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285</v>
      </c>
      <c r="C12" s="81">
        <f>'2009年1月2月'!U12</f>
        <v>78.0543</v>
      </c>
      <c r="D12" s="82"/>
      <c r="E12" s="83"/>
      <c r="F12" s="84">
        <f t="shared" si="4"/>
        <v>0</v>
      </c>
      <c r="G12" s="82"/>
      <c r="H12" s="83"/>
      <c r="I12" s="84">
        <f t="shared" si="1"/>
        <v>0</v>
      </c>
      <c r="J12" s="82">
        <v>1</v>
      </c>
      <c r="K12" s="83"/>
      <c r="L12" s="84">
        <f t="shared" si="2"/>
        <v>-7.7778</v>
      </c>
      <c r="M12" s="82">
        <v>1</v>
      </c>
      <c r="N12" s="83"/>
      <c r="O12" s="84">
        <f>-5.3846*M12-10</f>
        <v>-15.384599999999999</v>
      </c>
      <c r="P12" s="82"/>
      <c r="Q12" s="83"/>
      <c r="R12" s="84"/>
      <c r="S12" s="82"/>
      <c r="T12" s="87"/>
      <c r="U12" s="101">
        <f t="shared" si="0"/>
        <v>54.8919</v>
      </c>
    </row>
    <row r="13" spans="1:21" ht="12.75">
      <c r="A13" s="2">
        <v>11</v>
      </c>
      <c r="B13" s="104" t="s">
        <v>286</v>
      </c>
      <c r="C13" s="81">
        <f>'2009年1月2月'!U13</f>
        <v>21.22</v>
      </c>
      <c r="D13" s="82">
        <v>1</v>
      </c>
      <c r="E13" s="83"/>
      <c r="F13" s="84">
        <f t="shared" si="4"/>
        <v>-5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287</v>
      </c>
      <c r="C14" s="81">
        <f>'2009年1月2月'!U14</f>
        <v>4.973499999999998</v>
      </c>
      <c r="D14" s="82"/>
      <c r="E14" s="83"/>
      <c r="F14" s="84">
        <f t="shared" si="4"/>
        <v>0</v>
      </c>
      <c r="G14" s="82">
        <v>1</v>
      </c>
      <c r="H14" s="83">
        <v>100</v>
      </c>
      <c r="I14" s="84">
        <f>-12.2727*G14-10</f>
        <v>-22.2727</v>
      </c>
      <c r="J14" s="82"/>
      <c r="K14" s="83"/>
      <c r="L14" s="84">
        <f t="shared" si="2"/>
        <v>0</v>
      </c>
      <c r="M14" s="82">
        <v>1</v>
      </c>
      <c r="N14" s="83"/>
      <c r="O14" s="84">
        <f t="shared" si="3"/>
        <v>-5.3846</v>
      </c>
      <c r="P14" s="82"/>
      <c r="Q14" s="83"/>
      <c r="R14" s="84"/>
      <c r="S14" s="82"/>
      <c r="T14" s="87"/>
      <c r="U14" s="101">
        <f t="shared" si="0"/>
        <v>77.3162</v>
      </c>
    </row>
    <row r="15" spans="1:21" ht="12.75">
      <c r="A15" s="2">
        <v>13</v>
      </c>
      <c r="B15" s="105" t="s">
        <v>288</v>
      </c>
      <c r="C15" s="60">
        <f>'2009年1月2月'!U15</f>
        <v>114.1571</v>
      </c>
      <c r="D15" s="61"/>
      <c r="E15" s="62"/>
      <c r="F15" s="63">
        <f t="shared" si="4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289</v>
      </c>
      <c r="C16" s="60">
        <f>'2009年1月2月'!U16</f>
        <v>64.3553</v>
      </c>
      <c r="D16" s="61"/>
      <c r="E16" s="62"/>
      <c r="F16" s="63">
        <f t="shared" si="4"/>
        <v>0</v>
      </c>
      <c r="G16" s="61"/>
      <c r="H16" s="62"/>
      <c r="I16" s="63">
        <f t="shared" si="1"/>
        <v>0</v>
      </c>
      <c r="J16" s="61"/>
      <c r="K16" s="62"/>
      <c r="L16" s="63">
        <f t="shared" si="2"/>
        <v>0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290</v>
      </c>
      <c r="C17" s="60">
        <f>'2009年1月2月'!U17</f>
        <v>20.72</v>
      </c>
      <c r="D17" s="61"/>
      <c r="E17" s="62"/>
      <c r="F17" s="63">
        <f t="shared" si="4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291</v>
      </c>
      <c r="C18" s="67">
        <f>'2009年1月2月'!U18</f>
        <v>47.1061</v>
      </c>
      <c r="D18" s="68"/>
      <c r="E18" s="69"/>
      <c r="F18" s="70">
        <f t="shared" si="4"/>
        <v>0</v>
      </c>
      <c r="G18" s="68"/>
      <c r="H18" s="69"/>
      <c r="I18" s="70">
        <f t="shared" si="1"/>
        <v>0</v>
      </c>
      <c r="J18" s="68"/>
      <c r="K18" s="69"/>
      <c r="L18" s="70">
        <f t="shared" si="2"/>
        <v>0</v>
      </c>
      <c r="M18" s="68">
        <v>3</v>
      </c>
      <c r="N18" s="69"/>
      <c r="O18" s="70">
        <f t="shared" si="3"/>
        <v>-16.1538</v>
      </c>
      <c r="P18" s="68"/>
      <c r="Q18" s="69"/>
      <c r="R18" s="70"/>
      <c r="S18" s="68"/>
      <c r="T18" s="72"/>
      <c r="U18" s="101">
        <f t="shared" si="0"/>
        <v>30.952299999999997</v>
      </c>
    </row>
    <row r="19" spans="1:23" ht="12.75">
      <c r="A19" s="2">
        <v>17</v>
      </c>
      <c r="B19" s="102" t="s">
        <v>292</v>
      </c>
      <c r="C19" s="67">
        <f>'2009年1月2月'!U19</f>
        <v>89.4479</v>
      </c>
      <c r="D19" s="68">
        <v>4</v>
      </c>
      <c r="E19" s="69"/>
      <c r="F19" s="70">
        <f t="shared" si="4"/>
        <v>-20</v>
      </c>
      <c r="G19" s="68">
        <v>1</v>
      </c>
      <c r="H19" s="69"/>
      <c r="I19" s="70">
        <f t="shared" si="1"/>
        <v>-12.2727</v>
      </c>
      <c r="J19" s="68"/>
      <c r="K19" s="69"/>
      <c r="L19" s="70">
        <f t="shared" si="2"/>
        <v>0</v>
      </c>
      <c r="M19" s="68">
        <v>2</v>
      </c>
      <c r="N19" s="69"/>
      <c r="O19" s="70">
        <f t="shared" si="3"/>
        <v>-10.7692</v>
      </c>
      <c r="P19" s="68"/>
      <c r="Q19" s="69"/>
      <c r="R19" s="70"/>
      <c r="S19" s="73"/>
      <c r="T19" s="72"/>
      <c r="U19" s="101">
        <f t="shared" si="0"/>
        <v>46.406000000000006</v>
      </c>
      <c r="W19" s="37"/>
    </row>
    <row r="20" spans="1:21" ht="12.75">
      <c r="A20" s="2">
        <v>18</v>
      </c>
      <c r="B20" s="102" t="s">
        <v>293</v>
      </c>
      <c r="C20" s="67">
        <f>'2009年1月2月'!U20</f>
        <v>70.16</v>
      </c>
      <c r="D20" s="68"/>
      <c r="E20" s="69"/>
      <c r="F20" s="70">
        <f t="shared" si="4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294</v>
      </c>
      <c r="C21" s="74">
        <f>'2009年1月2月'!U21</f>
        <v>34.52</v>
      </c>
      <c r="D21" s="75"/>
      <c r="E21" s="76"/>
      <c r="F21" s="77">
        <f t="shared" si="4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295</v>
      </c>
      <c r="C22" s="74">
        <f>'2009年1月2月'!U22</f>
        <v>11.734900000000003</v>
      </c>
      <c r="D22" s="75">
        <v>1</v>
      </c>
      <c r="E22" s="76"/>
      <c r="F22" s="77">
        <f t="shared" si="4"/>
        <v>-5</v>
      </c>
      <c r="G22" s="75">
        <v>1</v>
      </c>
      <c r="H22" s="76"/>
      <c r="I22" s="77">
        <f t="shared" si="1"/>
        <v>-12.2727</v>
      </c>
      <c r="J22" s="75"/>
      <c r="K22" s="76"/>
      <c r="L22" s="77">
        <f t="shared" si="2"/>
        <v>0</v>
      </c>
      <c r="M22" s="75">
        <v>1</v>
      </c>
      <c r="N22" s="76">
        <v>100</v>
      </c>
      <c r="O22" s="77">
        <f t="shared" si="3"/>
        <v>-5.3846</v>
      </c>
      <c r="P22" s="75"/>
      <c r="Q22" s="76"/>
      <c r="R22" s="77"/>
      <c r="S22" s="75"/>
      <c r="T22" s="79"/>
      <c r="U22" s="101">
        <f t="shared" si="0"/>
        <v>89.07759999999999</v>
      </c>
    </row>
    <row r="23" spans="1:21" ht="12.75">
      <c r="A23" s="2">
        <v>21</v>
      </c>
      <c r="B23" s="103" t="s">
        <v>296</v>
      </c>
      <c r="C23" s="74">
        <f>'2009年1月2月'!U23</f>
        <v>49.23</v>
      </c>
      <c r="D23" s="75">
        <v>1</v>
      </c>
      <c r="E23" s="76"/>
      <c r="F23" s="77">
        <f t="shared" si="4"/>
        <v>-5</v>
      </c>
      <c r="G23" s="75">
        <v>1</v>
      </c>
      <c r="H23" s="76"/>
      <c r="I23" s="77">
        <f t="shared" si="1"/>
        <v>-12.2727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0"/>
        <v>31.957299999999996</v>
      </c>
    </row>
    <row r="24" spans="1:21" ht="12.75">
      <c r="A24" s="2">
        <v>22</v>
      </c>
      <c r="B24" s="106" t="s">
        <v>297</v>
      </c>
      <c r="C24" s="88">
        <f>'2009年1月2月'!U24</f>
        <v>75.829</v>
      </c>
      <c r="D24" s="89">
        <v>1</v>
      </c>
      <c r="E24" s="90"/>
      <c r="F24" s="91">
        <f t="shared" si="4"/>
        <v>-5</v>
      </c>
      <c r="G24" s="89">
        <v>1</v>
      </c>
      <c r="H24" s="90"/>
      <c r="I24" s="91">
        <f t="shared" si="1"/>
        <v>-12.2727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-5.3846</v>
      </c>
      <c r="P24" s="89"/>
      <c r="Q24" s="90"/>
      <c r="R24" s="91"/>
      <c r="S24" s="89"/>
      <c r="T24" s="93"/>
      <c r="U24" s="101">
        <f t="shared" si="0"/>
        <v>53.171699999999994</v>
      </c>
    </row>
    <row r="25" spans="1:21" ht="12.75">
      <c r="A25" s="2">
        <v>23</v>
      </c>
      <c r="B25" s="106" t="s">
        <v>298</v>
      </c>
      <c r="C25" s="88">
        <f>'2009年1月2月'!U25</f>
        <v>19.3696</v>
      </c>
      <c r="D25" s="89">
        <v>1</v>
      </c>
      <c r="E25" s="90">
        <v>100</v>
      </c>
      <c r="F25" s="91">
        <f t="shared" si="4"/>
        <v>-5</v>
      </c>
      <c r="G25" s="89">
        <v>1</v>
      </c>
      <c r="H25" s="90"/>
      <c r="I25" s="91">
        <f t="shared" si="1"/>
        <v>-12.2727</v>
      </c>
      <c r="J25" s="89">
        <v>1</v>
      </c>
      <c r="K25" s="90"/>
      <c r="L25" s="91">
        <f t="shared" si="2"/>
        <v>-7.7778</v>
      </c>
      <c r="M25" s="89">
        <v>1</v>
      </c>
      <c r="N25" s="90"/>
      <c r="O25" s="91">
        <f t="shared" si="3"/>
        <v>-5.3846</v>
      </c>
      <c r="P25" s="89"/>
      <c r="Q25" s="90"/>
      <c r="R25" s="91"/>
      <c r="S25" s="89"/>
      <c r="T25" s="93"/>
      <c r="U25" s="101">
        <f t="shared" si="0"/>
        <v>88.93449999999999</v>
      </c>
    </row>
    <row r="26" spans="1:21" ht="12.75">
      <c r="A26" s="2">
        <v>24</v>
      </c>
      <c r="B26" s="106" t="s">
        <v>299</v>
      </c>
      <c r="C26" s="88">
        <f>'2009年1月2月'!U26</f>
        <v>12.206099999999992</v>
      </c>
      <c r="D26" s="89">
        <v>1</v>
      </c>
      <c r="E26" s="90">
        <v>100</v>
      </c>
      <c r="F26" s="91">
        <f t="shared" si="4"/>
        <v>-5</v>
      </c>
      <c r="G26" s="89">
        <v>1</v>
      </c>
      <c r="H26" s="90"/>
      <c r="I26" s="91">
        <f t="shared" si="1"/>
        <v>-12.2727</v>
      </c>
      <c r="J26" s="89">
        <v>1</v>
      </c>
      <c r="K26" s="90"/>
      <c r="L26" s="91">
        <f t="shared" si="2"/>
        <v>-7.7778</v>
      </c>
      <c r="M26" s="89">
        <v>1</v>
      </c>
      <c r="N26" s="90"/>
      <c r="O26" s="91">
        <f t="shared" si="3"/>
        <v>-5.3846</v>
      </c>
      <c r="P26" s="89"/>
      <c r="Q26" s="90"/>
      <c r="R26" s="91"/>
      <c r="S26" s="94"/>
      <c r="T26" s="93"/>
      <c r="U26" s="101">
        <f t="shared" si="0"/>
        <v>81.77099999999999</v>
      </c>
    </row>
    <row r="27" spans="1:21" ht="12.75">
      <c r="A27" s="2">
        <v>25</v>
      </c>
      <c r="B27" s="104" t="s">
        <v>300</v>
      </c>
      <c r="C27" s="81">
        <f>'2009年1月2月'!U27</f>
        <v>42.63</v>
      </c>
      <c r="D27" s="82"/>
      <c r="E27" s="98"/>
      <c r="F27" s="84">
        <f t="shared" si="4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301</v>
      </c>
      <c r="C28" s="81">
        <f>'2009年1月2月'!U28</f>
        <v>14.849599999999988</v>
      </c>
      <c r="D28" s="86">
        <v>1</v>
      </c>
      <c r="E28" s="98"/>
      <c r="F28" s="84">
        <f t="shared" si="4"/>
        <v>-5</v>
      </c>
      <c r="G28" s="86"/>
      <c r="H28" s="98"/>
      <c r="I28" s="84">
        <f t="shared" si="1"/>
        <v>0</v>
      </c>
      <c r="J28" s="86">
        <v>1</v>
      </c>
      <c r="K28" s="98"/>
      <c r="L28" s="84">
        <f t="shared" si="2"/>
        <v>-7.7778</v>
      </c>
      <c r="M28" s="86"/>
      <c r="N28" s="98"/>
      <c r="O28" s="84">
        <f t="shared" si="3"/>
        <v>0</v>
      </c>
      <c r="P28" s="86"/>
      <c r="Q28" s="98"/>
      <c r="R28" s="84"/>
      <c r="S28" s="86"/>
      <c r="T28" s="87"/>
      <c r="U28" s="101">
        <f t="shared" si="0"/>
        <v>2.071799999999988</v>
      </c>
    </row>
    <row r="29" spans="1:21" ht="12.75">
      <c r="A29" s="2">
        <v>27</v>
      </c>
      <c r="B29" s="104" t="s">
        <v>302</v>
      </c>
      <c r="C29" s="81">
        <f>'2009年1月2月'!U29</f>
        <v>71.3853</v>
      </c>
      <c r="D29" s="82"/>
      <c r="E29" s="83"/>
      <c r="F29" s="84">
        <f t="shared" si="4"/>
        <v>0</v>
      </c>
      <c r="G29" s="82"/>
      <c r="H29" s="83"/>
      <c r="I29" s="84">
        <f t="shared" si="1"/>
        <v>0</v>
      </c>
      <c r="J29" s="82"/>
      <c r="K29" s="83"/>
      <c r="L29" s="84">
        <f t="shared" si="2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303</v>
      </c>
      <c r="C30" s="60">
        <f>'2009年1月2月'!U30</f>
        <v>-5.9557</v>
      </c>
      <c r="D30" s="66">
        <v>1</v>
      </c>
      <c r="E30" s="99">
        <v>100</v>
      </c>
      <c r="F30" s="63">
        <f t="shared" si="4"/>
        <v>-5</v>
      </c>
      <c r="G30" s="66">
        <v>1</v>
      </c>
      <c r="H30" s="99"/>
      <c r="I30" s="63">
        <f t="shared" si="1"/>
        <v>-12.2727</v>
      </c>
      <c r="J30" s="66">
        <v>1</v>
      </c>
      <c r="K30" s="99"/>
      <c r="L30" s="63">
        <f t="shared" si="2"/>
        <v>-7.7778</v>
      </c>
      <c r="M30" s="66">
        <v>1</v>
      </c>
      <c r="N30" s="99"/>
      <c r="O30" s="63">
        <f t="shared" si="3"/>
        <v>-5.3846</v>
      </c>
      <c r="P30" s="66"/>
      <c r="Q30" s="99"/>
      <c r="R30" s="63"/>
      <c r="S30" s="66"/>
      <c r="T30" s="65"/>
      <c r="U30" s="101">
        <f t="shared" si="0"/>
        <v>63.609199999999994</v>
      </c>
      <c r="V30" s="37"/>
    </row>
    <row r="31" spans="1:21" ht="12.75">
      <c r="A31" s="2">
        <v>29</v>
      </c>
      <c r="B31" s="105" t="s">
        <v>304</v>
      </c>
      <c r="C31" s="60">
        <f>'2009年1月2月'!U31</f>
        <v>-11.676500000000004</v>
      </c>
      <c r="D31" s="61">
        <v>1</v>
      </c>
      <c r="E31" s="99"/>
      <c r="F31" s="63">
        <f>-5*D31-10</f>
        <v>-15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0"/>
        <v>-26.676500000000004</v>
      </c>
    </row>
    <row r="32" spans="1:21" ht="12.75">
      <c r="A32" s="2">
        <v>30</v>
      </c>
      <c r="B32" s="105" t="s">
        <v>305</v>
      </c>
      <c r="C32" s="60">
        <f>'2009年1月2月'!U32</f>
        <v>85.34249999999999</v>
      </c>
      <c r="D32" s="66">
        <v>1</v>
      </c>
      <c r="E32" s="99"/>
      <c r="F32" s="63">
        <f t="shared" si="4"/>
        <v>-5</v>
      </c>
      <c r="G32" s="66"/>
      <c r="H32" s="99"/>
      <c r="I32" s="63">
        <f t="shared" si="1"/>
        <v>0</v>
      </c>
      <c r="J32" s="66">
        <v>1</v>
      </c>
      <c r="K32" s="99"/>
      <c r="L32" s="63">
        <f t="shared" si="2"/>
        <v>-7.7778</v>
      </c>
      <c r="M32" s="66">
        <v>1</v>
      </c>
      <c r="N32" s="99"/>
      <c r="O32" s="63">
        <f t="shared" si="3"/>
        <v>-5.3846</v>
      </c>
      <c r="P32" s="66"/>
      <c r="Q32" s="99"/>
      <c r="R32" s="63"/>
      <c r="S32" s="66"/>
      <c r="T32" s="65"/>
      <c r="U32" s="101">
        <f t="shared" si="0"/>
        <v>67.18009999999998</v>
      </c>
    </row>
    <row r="33" spans="1:21" ht="12.75">
      <c r="A33" s="2">
        <v>31</v>
      </c>
      <c r="B33" s="102" t="s">
        <v>306</v>
      </c>
      <c r="C33" s="67">
        <f>'2009年1月2月'!U33</f>
        <v>52.59</v>
      </c>
      <c r="D33" s="68"/>
      <c r="E33" s="69"/>
      <c r="F33" s="70">
        <f t="shared" si="4"/>
        <v>0</v>
      </c>
      <c r="G33" s="68"/>
      <c r="H33" s="69"/>
      <c r="I33" s="70">
        <f t="shared" si="1"/>
        <v>0</v>
      </c>
      <c r="J33" s="68">
        <v>1</v>
      </c>
      <c r="K33" s="69"/>
      <c r="L33" s="70">
        <f t="shared" si="2"/>
        <v>-7.7778</v>
      </c>
      <c r="M33" s="68"/>
      <c r="N33" s="69"/>
      <c r="O33" s="70">
        <f t="shared" si="3"/>
        <v>0</v>
      </c>
      <c r="P33" s="68"/>
      <c r="Q33" s="69"/>
      <c r="R33" s="70"/>
      <c r="S33" s="68"/>
      <c r="T33" s="72"/>
      <c r="U33" s="101">
        <f t="shared" si="0"/>
        <v>44.812200000000004</v>
      </c>
    </row>
    <row r="34" spans="1:21" ht="12.75">
      <c r="A34" s="2">
        <v>32</v>
      </c>
      <c r="B34" s="102" t="s">
        <v>307</v>
      </c>
      <c r="C34" s="67">
        <f>'2009年1月2月'!U34</f>
        <v>33.75959999999999</v>
      </c>
      <c r="D34" s="68">
        <v>1</v>
      </c>
      <c r="E34" s="69"/>
      <c r="F34" s="70">
        <f t="shared" si="4"/>
        <v>-5</v>
      </c>
      <c r="G34" s="68">
        <v>1</v>
      </c>
      <c r="H34" s="69"/>
      <c r="I34" s="70">
        <f t="shared" si="1"/>
        <v>-12.2727</v>
      </c>
      <c r="J34" s="68">
        <v>1</v>
      </c>
      <c r="K34" s="69"/>
      <c r="L34" s="70">
        <f t="shared" si="2"/>
        <v>-7.7778</v>
      </c>
      <c r="M34" s="68">
        <v>1</v>
      </c>
      <c r="N34" s="69">
        <v>100</v>
      </c>
      <c r="O34" s="70">
        <f t="shared" si="3"/>
        <v>-5.3846</v>
      </c>
      <c r="P34" s="68"/>
      <c r="Q34" s="69"/>
      <c r="R34" s="70"/>
      <c r="S34" s="73"/>
      <c r="T34" s="72"/>
      <c r="U34" s="101">
        <f t="shared" si="0"/>
        <v>103.32449999999999</v>
      </c>
    </row>
    <row r="35" spans="1:21" ht="12.75">
      <c r="A35" s="2">
        <v>33</v>
      </c>
      <c r="B35" s="102" t="s">
        <v>308</v>
      </c>
      <c r="C35" s="67">
        <f>'2009年1月2月'!U35</f>
        <v>69.6014</v>
      </c>
      <c r="D35" s="68">
        <v>1</v>
      </c>
      <c r="E35" s="69"/>
      <c r="F35" s="70">
        <f t="shared" si="4"/>
        <v>-5</v>
      </c>
      <c r="G35" s="68">
        <v>1</v>
      </c>
      <c r="H35" s="69"/>
      <c r="I35" s="70">
        <f t="shared" si="1"/>
        <v>-12.2727</v>
      </c>
      <c r="J35" s="68">
        <v>1</v>
      </c>
      <c r="K35" s="69"/>
      <c r="L35" s="70">
        <f t="shared" si="2"/>
        <v>-7.7778</v>
      </c>
      <c r="M35" s="68">
        <v>1</v>
      </c>
      <c r="N35" s="69"/>
      <c r="O35" s="70">
        <f t="shared" si="3"/>
        <v>-5.3846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39.1663</v>
      </c>
    </row>
    <row r="36" spans="1:21" ht="12.75">
      <c r="A36" s="2">
        <v>34</v>
      </c>
      <c r="B36" s="103" t="s">
        <v>309</v>
      </c>
      <c r="C36" s="74">
        <f>'2009年1月2月'!U36</f>
        <v>38.13</v>
      </c>
      <c r="D36" s="75"/>
      <c r="E36" s="76"/>
      <c r="F36" s="77">
        <f t="shared" si="4"/>
        <v>0</v>
      </c>
      <c r="G36" s="75"/>
      <c r="H36" s="76"/>
      <c r="I36" s="77">
        <f t="shared" si="1"/>
        <v>0</v>
      </c>
      <c r="J36" s="75"/>
      <c r="K36" s="76"/>
      <c r="L36" s="77">
        <f t="shared" si="2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310</v>
      </c>
      <c r="C37" s="74">
        <f>'2009年1月2月'!U37</f>
        <v>99.0756</v>
      </c>
      <c r="D37" s="75">
        <v>1</v>
      </c>
      <c r="E37" s="76"/>
      <c r="F37" s="77">
        <f t="shared" si="4"/>
        <v>-5</v>
      </c>
      <c r="G37" s="75">
        <v>1</v>
      </c>
      <c r="H37" s="76"/>
      <c r="I37" s="77">
        <f t="shared" si="1"/>
        <v>-12.2727</v>
      </c>
      <c r="J37" s="75">
        <v>1</v>
      </c>
      <c r="K37" s="76"/>
      <c r="L37" s="77">
        <f t="shared" si="2"/>
        <v>-7.7778</v>
      </c>
      <c r="M37" s="75">
        <v>1</v>
      </c>
      <c r="N37" s="76"/>
      <c r="O37" s="77">
        <f t="shared" si="3"/>
        <v>-5.3846</v>
      </c>
      <c r="P37" s="75"/>
      <c r="Q37" s="76"/>
      <c r="R37" s="77"/>
      <c r="S37" s="75"/>
      <c r="T37" s="79"/>
      <c r="U37" s="101">
        <f t="shared" si="5"/>
        <v>68.64049999999999</v>
      </c>
      <c r="V37" s="37"/>
    </row>
    <row r="38" spans="1:21" ht="12.75">
      <c r="A38" s="2">
        <v>36</v>
      </c>
      <c r="B38" s="103" t="s">
        <v>311</v>
      </c>
      <c r="C38" s="74">
        <f>'2009年1月2月'!U38</f>
        <v>41.32490000000001</v>
      </c>
      <c r="D38" s="75">
        <v>2</v>
      </c>
      <c r="E38" s="76"/>
      <c r="F38" s="77">
        <f t="shared" si="4"/>
        <v>-10</v>
      </c>
      <c r="G38" s="75">
        <v>1</v>
      </c>
      <c r="H38" s="76"/>
      <c r="I38" s="77">
        <f t="shared" si="1"/>
        <v>-12.2727</v>
      </c>
      <c r="J38" s="75"/>
      <c r="K38" s="76"/>
      <c r="L38" s="77">
        <f t="shared" si="2"/>
        <v>0</v>
      </c>
      <c r="M38" s="75"/>
      <c r="N38" s="76"/>
      <c r="O38" s="77">
        <f t="shared" si="3"/>
        <v>0</v>
      </c>
      <c r="P38" s="75"/>
      <c r="Q38" s="76"/>
      <c r="R38" s="77"/>
      <c r="S38" s="80"/>
      <c r="T38" s="79"/>
      <c r="U38" s="101">
        <f t="shared" si="5"/>
        <v>19.052200000000006</v>
      </c>
    </row>
    <row r="39" spans="1:21" ht="12.75">
      <c r="A39" s="2">
        <v>37</v>
      </c>
      <c r="B39" s="106" t="s">
        <v>312</v>
      </c>
      <c r="C39" s="88">
        <f>'2009年1月2月'!U39</f>
        <v>74.5671</v>
      </c>
      <c r="D39" s="89"/>
      <c r="E39" s="90"/>
      <c r="F39" s="91">
        <f t="shared" si="4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313</v>
      </c>
      <c r="C40" s="88">
        <f>'2009年1月2月'!U40</f>
        <v>23.304299999999998</v>
      </c>
      <c r="D40" s="89"/>
      <c r="E40" s="90"/>
      <c r="F40" s="91">
        <f t="shared" si="4"/>
        <v>0</v>
      </c>
      <c r="G40" s="89">
        <v>1</v>
      </c>
      <c r="H40" s="90">
        <v>100</v>
      </c>
      <c r="I40" s="91">
        <f>-12.2727*G40-10</f>
        <v>-22.2727</v>
      </c>
      <c r="J40" s="89"/>
      <c r="K40" s="90"/>
      <c r="L40" s="91">
        <f t="shared" si="2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5"/>
        <v>101.0316</v>
      </c>
    </row>
    <row r="41" spans="1:21" ht="12.75">
      <c r="A41" s="2">
        <v>39</v>
      </c>
      <c r="B41" s="106" t="s">
        <v>314</v>
      </c>
      <c r="C41" s="88">
        <f>'2009年1月2月'!U41</f>
        <v>16.53</v>
      </c>
      <c r="D41" s="89"/>
      <c r="E41" s="90"/>
      <c r="F41" s="91">
        <f t="shared" si="4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5"/>
        <v>16.53</v>
      </c>
    </row>
    <row r="42" spans="1:21" ht="12.75">
      <c r="A42" s="2">
        <v>40</v>
      </c>
      <c r="B42" s="104" t="s">
        <v>315</v>
      </c>
      <c r="C42" s="81">
        <f>'2009年1月2月'!U42</f>
        <v>22.08</v>
      </c>
      <c r="D42" s="82"/>
      <c r="E42" s="98"/>
      <c r="F42" s="84">
        <f t="shared" si="4"/>
        <v>0</v>
      </c>
      <c r="G42" s="82"/>
      <c r="H42" s="98"/>
      <c r="I42" s="84">
        <f t="shared" si="1"/>
        <v>0</v>
      </c>
      <c r="J42" s="82"/>
      <c r="K42" s="98"/>
      <c r="L42" s="84">
        <f t="shared" si="2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316</v>
      </c>
      <c r="C43" s="81">
        <f>'2009年1月2月'!U43</f>
        <v>-0.8404000000000007</v>
      </c>
      <c r="D43" s="86">
        <v>1</v>
      </c>
      <c r="E43" s="98"/>
      <c r="F43" s="84">
        <f t="shared" si="4"/>
        <v>-5</v>
      </c>
      <c r="G43" s="86">
        <v>1</v>
      </c>
      <c r="H43" s="98">
        <v>100</v>
      </c>
      <c r="I43" s="84">
        <f t="shared" si="1"/>
        <v>-12.2727</v>
      </c>
      <c r="J43" s="86">
        <v>1</v>
      </c>
      <c r="K43" s="98"/>
      <c r="L43" s="84">
        <f t="shared" si="2"/>
        <v>-7.7778</v>
      </c>
      <c r="M43" s="86"/>
      <c r="N43" s="98"/>
      <c r="O43" s="84">
        <f t="shared" si="3"/>
        <v>0</v>
      </c>
      <c r="P43" s="86"/>
      <c r="Q43" s="98"/>
      <c r="R43" s="84"/>
      <c r="S43" s="86"/>
      <c r="T43" s="87"/>
      <c r="U43" s="101">
        <f t="shared" si="5"/>
        <v>74.1091</v>
      </c>
    </row>
    <row r="44" spans="1:21" ht="12.75">
      <c r="A44" s="2">
        <v>42</v>
      </c>
      <c r="B44" s="104" t="s">
        <v>317</v>
      </c>
      <c r="C44" s="81">
        <f>'2009年1月2月'!U44</f>
        <v>84.96</v>
      </c>
      <c r="D44" s="86"/>
      <c r="E44" s="98"/>
      <c r="F44" s="84">
        <f t="shared" si="4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318</v>
      </c>
      <c r="C45" s="60">
        <f>'2009年1月2月'!U45</f>
        <v>6.038999999999998</v>
      </c>
      <c r="D45" s="66"/>
      <c r="E45" s="99"/>
      <c r="F45" s="63">
        <f t="shared" si="4"/>
        <v>0</v>
      </c>
      <c r="G45" s="66"/>
      <c r="H45" s="99"/>
      <c r="I45" s="63">
        <f t="shared" si="1"/>
        <v>0</v>
      </c>
      <c r="J45" s="66"/>
      <c r="K45" s="99"/>
      <c r="L45" s="63">
        <f t="shared" si="2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'2009年1月2月'!U46</f>
        <v>32.9278</v>
      </c>
      <c r="D46" s="61">
        <v>1</v>
      </c>
      <c r="E46" s="99"/>
      <c r="F46" s="63">
        <f t="shared" si="4"/>
        <v>-5</v>
      </c>
      <c r="G46" s="61">
        <v>1</v>
      </c>
      <c r="H46" s="99"/>
      <c r="I46" s="63">
        <f t="shared" si="1"/>
        <v>-12.2727</v>
      </c>
      <c r="J46" s="61">
        <v>1</v>
      </c>
      <c r="K46" s="99">
        <v>100</v>
      </c>
      <c r="L46" s="63">
        <f t="shared" si="2"/>
        <v>-7.7778</v>
      </c>
      <c r="M46" s="61">
        <v>1</v>
      </c>
      <c r="N46" s="99"/>
      <c r="O46" s="63">
        <f t="shared" si="3"/>
        <v>-5.3846</v>
      </c>
      <c r="P46" s="61"/>
      <c r="Q46" s="99"/>
      <c r="R46" s="63"/>
      <c r="S46" s="61"/>
      <c r="T46" s="65"/>
      <c r="U46" s="101">
        <f t="shared" si="5"/>
        <v>102.4927</v>
      </c>
    </row>
    <row r="47" spans="1:21" ht="12.75">
      <c r="A47" s="2">
        <v>45</v>
      </c>
      <c r="B47" s="105" t="s">
        <v>319</v>
      </c>
      <c r="C47" s="60">
        <f>'2009年1月2月'!U47</f>
        <v>90.87429999999999</v>
      </c>
      <c r="D47" s="66">
        <v>1</v>
      </c>
      <c r="E47" s="99"/>
      <c r="F47" s="63">
        <f t="shared" si="4"/>
        <v>-5</v>
      </c>
      <c r="G47" s="66">
        <v>1</v>
      </c>
      <c r="H47" s="99"/>
      <c r="I47" s="63">
        <f t="shared" si="1"/>
        <v>-12.2727</v>
      </c>
      <c r="J47" s="66"/>
      <c r="K47" s="99"/>
      <c r="L47" s="63">
        <f t="shared" si="2"/>
        <v>0</v>
      </c>
      <c r="M47" s="66">
        <v>1</v>
      </c>
      <c r="N47" s="99"/>
      <c r="O47" s="63">
        <f t="shared" si="3"/>
        <v>-5.3846</v>
      </c>
      <c r="P47" s="66"/>
      <c r="Q47" s="99"/>
      <c r="R47" s="63"/>
      <c r="S47" s="66"/>
      <c r="T47" s="65"/>
      <c r="U47" s="101">
        <f t="shared" si="5"/>
        <v>68.21699999999998</v>
      </c>
    </row>
    <row r="48" spans="1:21" ht="12.75">
      <c r="A48" s="2">
        <v>46</v>
      </c>
      <c r="B48" s="102" t="s">
        <v>320</v>
      </c>
      <c r="C48" s="67">
        <f>'2009年1月2月'!U48</f>
        <v>2.5560999999999954</v>
      </c>
      <c r="D48" s="68">
        <v>1</v>
      </c>
      <c r="E48" s="69"/>
      <c r="F48" s="70">
        <f t="shared" si="4"/>
        <v>-5</v>
      </c>
      <c r="G48" s="68">
        <v>1</v>
      </c>
      <c r="H48" s="69">
        <v>100</v>
      </c>
      <c r="I48" s="70">
        <f>-12.2727*G48-10</f>
        <v>-22.2727</v>
      </c>
      <c r="J48" s="68">
        <v>1</v>
      </c>
      <c r="K48" s="69"/>
      <c r="L48" s="70">
        <f>-7.7778*J48-10</f>
        <v>-17.7778</v>
      </c>
      <c r="M48" s="68">
        <v>1</v>
      </c>
      <c r="N48" s="69"/>
      <c r="O48" s="70">
        <f t="shared" si="3"/>
        <v>-5.3846</v>
      </c>
      <c r="P48" s="68"/>
      <c r="Q48" s="69"/>
      <c r="R48" s="70"/>
      <c r="S48" s="68"/>
      <c r="T48" s="72"/>
      <c r="U48" s="101">
        <f t="shared" si="5"/>
        <v>52.121</v>
      </c>
    </row>
    <row r="49" spans="1:21" ht="12.75">
      <c r="A49" s="2">
        <v>47</v>
      </c>
      <c r="B49" s="102" t="s">
        <v>321</v>
      </c>
      <c r="C49" s="67">
        <f>'2009年1月2月'!U49</f>
        <v>55.802499999999995</v>
      </c>
      <c r="D49" s="68">
        <v>1</v>
      </c>
      <c r="E49" s="69"/>
      <c r="F49" s="70">
        <f t="shared" si="4"/>
        <v>-5</v>
      </c>
      <c r="G49" s="68"/>
      <c r="H49" s="69"/>
      <c r="I49" s="70">
        <f t="shared" si="1"/>
        <v>0</v>
      </c>
      <c r="J49" s="68"/>
      <c r="K49" s="69"/>
      <c r="L49" s="70">
        <f t="shared" si="2"/>
        <v>0</v>
      </c>
      <c r="M49" s="68">
        <v>1</v>
      </c>
      <c r="N49" s="69"/>
      <c r="O49" s="70">
        <f t="shared" si="3"/>
        <v>-5.3846</v>
      </c>
      <c r="P49" s="68"/>
      <c r="Q49" s="69"/>
      <c r="R49" s="70"/>
      <c r="S49" s="73"/>
      <c r="T49" s="72"/>
      <c r="U49" s="101">
        <f t="shared" si="5"/>
        <v>45.417899999999996</v>
      </c>
    </row>
    <row r="50" spans="1:21" ht="12.75">
      <c r="A50" s="2">
        <v>48</v>
      </c>
      <c r="B50" s="102" t="s">
        <v>322</v>
      </c>
      <c r="C50" s="67">
        <f>'2009年1月2月'!U50</f>
        <v>74.8235</v>
      </c>
      <c r="D50" s="68"/>
      <c r="E50" s="69"/>
      <c r="F50" s="70">
        <f t="shared" si="4"/>
        <v>0</v>
      </c>
      <c r="G50" s="68"/>
      <c r="H50" s="69"/>
      <c r="I50" s="70">
        <f t="shared" si="1"/>
        <v>0</v>
      </c>
      <c r="J50" s="68"/>
      <c r="K50" s="69"/>
      <c r="L50" s="70">
        <f t="shared" si="2"/>
        <v>0</v>
      </c>
      <c r="M50" s="68">
        <v>1</v>
      </c>
      <c r="N50" s="69"/>
      <c r="O50" s="70">
        <f t="shared" si="3"/>
        <v>-5.3846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43" t="s">
        <v>323</v>
      </c>
      <c r="C51" s="74">
        <f>'2009年1月2月'!U51</f>
        <v>76.4286</v>
      </c>
      <c r="D51" s="75">
        <v>1</v>
      </c>
      <c r="E51" s="96"/>
      <c r="F51" s="77">
        <f t="shared" si="4"/>
        <v>-5</v>
      </c>
      <c r="G51" s="75">
        <v>1</v>
      </c>
      <c r="H51" s="96"/>
      <c r="I51" s="77">
        <f t="shared" si="1"/>
        <v>-12.2727</v>
      </c>
      <c r="J51" s="75">
        <v>1</v>
      </c>
      <c r="K51" s="96"/>
      <c r="L51" s="77">
        <f t="shared" si="2"/>
        <v>-7.7778</v>
      </c>
      <c r="M51" s="75">
        <v>1</v>
      </c>
      <c r="N51" s="96"/>
      <c r="O51" s="77">
        <f t="shared" si="3"/>
        <v>-5.3846</v>
      </c>
      <c r="P51" s="75"/>
      <c r="Q51" s="96"/>
      <c r="R51" s="77"/>
      <c r="S51" s="80"/>
      <c r="T51" s="79"/>
      <c r="U51" s="101">
        <f t="shared" si="5"/>
        <v>45.993500000000004</v>
      </c>
    </row>
    <row r="52" spans="1:21" ht="12.75">
      <c r="A52" s="2">
        <v>50</v>
      </c>
      <c r="B52" s="43" t="s">
        <v>324</v>
      </c>
      <c r="C52" s="74">
        <f>'2009年1月2月'!U52</f>
        <v>76.4286</v>
      </c>
      <c r="D52" s="80">
        <v>1</v>
      </c>
      <c r="E52" s="96"/>
      <c r="F52" s="77">
        <f t="shared" si="4"/>
        <v>-5</v>
      </c>
      <c r="G52" s="80">
        <v>1</v>
      </c>
      <c r="H52" s="96"/>
      <c r="I52" s="77">
        <f t="shared" si="1"/>
        <v>-12.2727</v>
      </c>
      <c r="J52" s="80">
        <v>1</v>
      </c>
      <c r="K52" s="96"/>
      <c r="L52" s="77">
        <f t="shared" si="2"/>
        <v>-7.7778</v>
      </c>
      <c r="M52" s="80">
        <v>1</v>
      </c>
      <c r="N52" s="96"/>
      <c r="O52" s="77">
        <f t="shared" si="3"/>
        <v>-5.3846</v>
      </c>
      <c r="P52" s="80"/>
      <c r="Q52" s="96"/>
      <c r="R52" s="77"/>
      <c r="S52" s="75"/>
      <c r="T52" s="79"/>
      <c r="U52" s="101">
        <f t="shared" si="5"/>
        <v>45.993500000000004</v>
      </c>
    </row>
    <row r="53" spans="1:21" ht="12.75">
      <c r="A53" s="2">
        <v>51</v>
      </c>
      <c r="B53" s="115">
        <v>2007</v>
      </c>
      <c r="C53" s="112">
        <v>0</v>
      </c>
      <c r="D53" s="75"/>
      <c r="E53" s="96"/>
      <c r="F53" s="113"/>
      <c r="G53" s="75"/>
      <c r="H53" s="96"/>
      <c r="I53" s="113"/>
      <c r="J53" s="75">
        <v>1</v>
      </c>
      <c r="K53" s="96">
        <v>100</v>
      </c>
      <c r="L53" s="77">
        <f t="shared" si="2"/>
        <v>-7.7778</v>
      </c>
      <c r="M53" s="75">
        <v>1</v>
      </c>
      <c r="N53" s="96"/>
      <c r="O53" s="77">
        <f t="shared" si="3"/>
        <v>-5.3846</v>
      </c>
      <c r="P53" s="75"/>
      <c r="Q53" s="96"/>
      <c r="R53" s="113"/>
      <c r="S53" s="75"/>
      <c r="T53" s="114"/>
      <c r="U53" s="101">
        <f t="shared" si="5"/>
        <v>86.8376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28</v>
      </c>
      <c r="F55" s="1">
        <f>E66/D55</f>
        <v>5</v>
      </c>
      <c r="G55" s="1">
        <f>SUM(G3:G53)</f>
        <v>22</v>
      </c>
      <c r="I55" s="1">
        <f>H66/G55</f>
        <v>12.272727272727273</v>
      </c>
      <c r="J55" s="1">
        <f>SUM(J3:J53)</f>
        <v>18</v>
      </c>
      <c r="L55" s="1">
        <f>K66/J55</f>
        <v>7.777777777777778</v>
      </c>
      <c r="M55" s="1">
        <f>SUM(M3:M53)</f>
        <v>26</v>
      </c>
      <c r="O55" s="1">
        <f>N66/M55</f>
        <v>5.384615384615385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325</v>
      </c>
      <c r="F56" s="48" t="s">
        <v>326</v>
      </c>
      <c r="G56" s="47" t="s">
        <v>325</v>
      </c>
      <c r="I56" s="48" t="s">
        <v>326</v>
      </c>
      <c r="J56" s="47" t="s">
        <v>325</v>
      </c>
      <c r="L56" s="48" t="s">
        <v>326</v>
      </c>
      <c r="M56" s="47" t="s">
        <v>325</v>
      </c>
      <c r="O56" s="48" t="s">
        <v>326</v>
      </c>
      <c r="P56" s="47" t="s">
        <v>325</v>
      </c>
      <c r="R56" s="48" t="s">
        <v>326</v>
      </c>
    </row>
    <row r="57" spans="5:21" ht="12.75">
      <c r="E57" s="37" t="s">
        <v>327</v>
      </c>
      <c r="F57" s="1">
        <f>SUM(F3:F53)</f>
        <v>-150</v>
      </c>
      <c r="H57" s="37" t="s">
        <v>327</v>
      </c>
      <c r="I57" s="1">
        <f>SUM(I3:I53)</f>
        <v>-299.99939999999987</v>
      </c>
      <c r="K57" s="37" t="s">
        <v>327</v>
      </c>
      <c r="L57" s="1">
        <f>SUM(L3:L53)</f>
        <v>-150.00040000000004</v>
      </c>
      <c r="N57" s="37" t="s">
        <v>327</v>
      </c>
      <c r="O57" s="1">
        <f>SUM(O3:O53)</f>
        <v>-149.99960000000007</v>
      </c>
      <c r="Q57" s="37" t="s">
        <v>327</v>
      </c>
      <c r="R57" s="1">
        <f>SUM(R3:R53)</f>
        <v>0</v>
      </c>
      <c r="U57" s="24"/>
    </row>
    <row r="58" spans="2:21" ht="12.75">
      <c r="B58" s="41" t="s">
        <v>328</v>
      </c>
      <c r="C58" s="36">
        <f>SUM(C3:C52)</f>
        <v>2559.9989</v>
      </c>
      <c r="E58" s="41"/>
      <c r="H58" s="41"/>
      <c r="K58" s="41"/>
      <c r="N58" s="41"/>
      <c r="Q58" s="41"/>
      <c r="U58" s="24"/>
    </row>
    <row r="59" spans="19:21" ht="12.75">
      <c r="S59" s="151" t="s">
        <v>8</v>
      </c>
      <c r="T59" s="151"/>
      <c r="U59" s="56">
        <f>SUM(U3:U53)</f>
        <v>2909.9995000000013</v>
      </c>
    </row>
    <row r="60" spans="4:18" ht="12.75" customHeight="1">
      <c r="D60" s="155" t="s">
        <v>334</v>
      </c>
      <c r="E60" s="161"/>
      <c r="F60" s="162"/>
      <c r="G60" s="155" t="s">
        <v>337</v>
      </c>
      <c r="H60" s="161"/>
      <c r="I60" s="162"/>
      <c r="J60" s="155" t="s">
        <v>338</v>
      </c>
      <c r="K60" s="161"/>
      <c r="L60" s="162"/>
      <c r="M60" s="155" t="s">
        <v>339</v>
      </c>
      <c r="N60" s="161"/>
      <c r="O60" s="162"/>
      <c r="P60" s="155"/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329</v>
      </c>
      <c r="E66" s="50">
        <f>E68-E84-E92</f>
        <v>140</v>
      </c>
      <c r="F66" s="51"/>
      <c r="G66" s="52" t="s">
        <v>329</v>
      </c>
      <c r="H66" s="50">
        <f>H68-H84-H92</f>
        <v>270</v>
      </c>
      <c r="I66" s="51"/>
      <c r="J66" s="52" t="s">
        <v>329</v>
      </c>
      <c r="K66" s="50">
        <f>K68-K84-K92</f>
        <v>140</v>
      </c>
      <c r="L66" s="51"/>
      <c r="M66" s="52" t="s">
        <v>329</v>
      </c>
      <c r="N66" s="50">
        <f>N68-N84-N92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330</v>
      </c>
      <c r="E68" s="54">
        <f>150</f>
        <v>150</v>
      </c>
      <c r="F68" s="55"/>
      <c r="G68" s="110" t="s">
        <v>330</v>
      </c>
      <c r="H68" s="54">
        <f>300</f>
        <v>300</v>
      </c>
      <c r="I68" s="55"/>
      <c r="J68" s="110" t="s">
        <v>330</v>
      </c>
      <c r="K68" s="54">
        <f>150</f>
        <v>150</v>
      </c>
      <c r="L68" s="55"/>
      <c r="M68" s="110" t="s">
        <v>330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9"/>
      <c r="E74" s="150"/>
      <c r="F74" s="150"/>
      <c r="G74" s="149"/>
      <c r="H74" s="150"/>
      <c r="I74" s="150"/>
      <c r="J74" s="149"/>
      <c r="K74" s="150"/>
      <c r="L74" s="150"/>
      <c r="M74" s="149"/>
      <c r="N74" s="150"/>
      <c r="O74" s="150"/>
      <c r="P74" s="149"/>
      <c r="Q74" s="150"/>
      <c r="R74" s="150"/>
    </row>
    <row r="75" spans="4:18" ht="12.75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</row>
    <row r="76" spans="4:18" ht="59.25" customHeight="1"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</row>
    <row r="77" spans="4:18" ht="12.75">
      <c r="D77" s="149"/>
      <c r="E77" s="150"/>
      <c r="F77" s="150"/>
      <c r="G77" s="149"/>
      <c r="H77" s="150"/>
      <c r="I77" s="150"/>
      <c r="J77" s="149"/>
      <c r="K77" s="150"/>
      <c r="L77" s="150"/>
      <c r="M77" s="149"/>
      <c r="N77" s="150"/>
      <c r="O77" s="150"/>
      <c r="P77" s="149"/>
      <c r="Q77" s="150"/>
      <c r="R77" s="150"/>
    </row>
    <row r="78" spans="4:18" ht="12.75"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</row>
    <row r="79" spans="4:18" ht="21.75" customHeight="1"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</row>
    <row r="80" spans="4:17" ht="12.75">
      <c r="D80" s="153" t="s">
        <v>331</v>
      </c>
      <c r="E80" s="154"/>
      <c r="G80" s="153" t="s">
        <v>331</v>
      </c>
      <c r="H80" s="154"/>
      <c r="J80" s="153" t="s">
        <v>331</v>
      </c>
      <c r="K80" s="154"/>
      <c r="M80" s="153" t="s">
        <v>331</v>
      </c>
      <c r="N80" s="154"/>
      <c r="P80" s="153"/>
      <c r="Q80" s="154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304</v>
      </c>
      <c r="E82" s="1">
        <v>10</v>
      </c>
      <c r="G82" s="107" t="s">
        <v>29</v>
      </c>
      <c r="H82" s="1">
        <v>10</v>
      </c>
      <c r="J82" s="107" t="s">
        <v>249</v>
      </c>
      <c r="K82" s="1">
        <v>10</v>
      </c>
      <c r="M82" s="107"/>
      <c r="P82" s="107"/>
    </row>
    <row r="83" spans="4:16" ht="12.75">
      <c r="D83" s="107"/>
      <c r="G83" s="107" t="s">
        <v>249</v>
      </c>
      <c r="H83" s="1">
        <v>10</v>
      </c>
      <c r="J83" s="107"/>
      <c r="M83" s="107"/>
      <c r="P83" s="107"/>
    </row>
    <row r="84" spans="5:17" ht="12.75">
      <c r="E84" s="37">
        <f>SUM(E82:E83)</f>
        <v>10</v>
      </c>
      <c r="H84" s="37">
        <f>SUM(H82:H83)</f>
        <v>20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332</v>
      </c>
      <c r="E87" s="154"/>
      <c r="G87" s="153" t="s">
        <v>332</v>
      </c>
      <c r="H87" s="154"/>
      <c r="J87" s="153" t="s">
        <v>332</v>
      </c>
      <c r="K87" s="154"/>
      <c r="M87" s="153" t="s">
        <v>332</v>
      </c>
      <c r="N87" s="154"/>
      <c r="P87" s="153"/>
      <c r="Q87" s="154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155</v>
      </c>
      <c r="E89" s="1">
        <v>0</v>
      </c>
      <c r="G89" s="107" t="s">
        <v>125</v>
      </c>
      <c r="H89" s="1">
        <v>10</v>
      </c>
      <c r="J89" s="107"/>
      <c r="M89" s="107" t="s">
        <v>27</v>
      </c>
      <c r="N89" s="1">
        <v>10</v>
      </c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10</v>
      </c>
    </row>
    <row r="94" spans="4:18" ht="12.75" customHeight="1">
      <c r="D94" s="152" t="s">
        <v>336</v>
      </c>
      <c r="E94" s="152"/>
      <c r="F94" s="152"/>
      <c r="G94" s="152" t="s">
        <v>336</v>
      </c>
      <c r="H94" s="152"/>
      <c r="I94" s="152"/>
      <c r="J94" s="152" t="s">
        <v>336</v>
      </c>
      <c r="K94" s="152"/>
      <c r="L94" s="152"/>
      <c r="M94" s="152" t="s">
        <v>336</v>
      </c>
      <c r="N94" s="152"/>
      <c r="O94" s="152"/>
      <c r="P94" s="152"/>
      <c r="Q94" s="152"/>
      <c r="R94" s="152"/>
    </row>
    <row r="95" spans="4:18" ht="12.75"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07" t="s">
        <v>335</v>
      </c>
      <c r="E97" s="37"/>
      <c r="F97" s="59"/>
      <c r="G97" s="107"/>
      <c r="H97" s="37"/>
      <c r="I97" s="59"/>
      <c r="J97" s="107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 t="s">
        <v>272</v>
      </c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ht="12.75">
      <c r="D99" s="1" t="s">
        <v>333</v>
      </c>
    </row>
    <row r="101" spans="4:18" ht="12.75">
      <c r="D101" s="156" t="s">
        <v>329</v>
      </c>
      <c r="E101" s="154"/>
      <c r="F101" s="154"/>
      <c r="G101" s="156" t="s">
        <v>329</v>
      </c>
      <c r="H101" s="154"/>
      <c r="I101" s="154"/>
      <c r="J101" s="156" t="s">
        <v>329</v>
      </c>
      <c r="K101" s="154"/>
      <c r="L101" s="154"/>
      <c r="M101" s="156" t="s">
        <v>329</v>
      </c>
      <c r="N101" s="154"/>
      <c r="O101" s="154"/>
      <c r="P101" s="156"/>
      <c r="Q101" s="154"/>
      <c r="R101" s="154"/>
    </row>
    <row r="102" spans="4:18" ht="12.75"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B1">
      <selection activeCell="G29" sqref="G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7">
        <v>39908</v>
      </c>
      <c r="E1" s="158"/>
      <c r="F1" s="159"/>
      <c r="G1" s="18"/>
      <c r="H1" s="32">
        <v>39914</v>
      </c>
      <c r="I1" s="19"/>
      <c r="J1" s="44"/>
      <c r="K1" s="32">
        <v>39921</v>
      </c>
      <c r="L1" s="45"/>
      <c r="M1" s="18"/>
      <c r="N1" s="32">
        <v>39928</v>
      </c>
      <c r="O1" s="19"/>
      <c r="P1" s="18"/>
      <c r="Q1" s="32" t="s">
        <v>399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'2009年3月'!U3</f>
        <v>37.384499999999996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-6.923*G3</f>
        <v>-6.923</v>
      </c>
      <c r="J3" s="68">
        <v>1</v>
      </c>
      <c r="K3" s="69"/>
      <c r="L3" s="70">
        <f aca="true" t="shared" si="0" ref="L3:L15">-6.1905*J3</f>
        <v>-6.1905</v>
      </c>
      <c r="M3" s="68">
        <v>1</v>
      </c>
      <c r="N3" s="69">
        <v>100</v>
      </c>
      <c r="O3" s="70">
        <f>-7.8947*M3</f>
        <v>-7.8947</v>
      </c>
      <c r="P3" s="68"/>
      <c r="Q3" s="69"/>
      <c r="R3" s="70"/>
      <c r="S3" s="68"/>
      <c r="T3" s="72"/>
      <c r="U3" s="101">
        <f aca="true" t="shared" si="1" ref="U3:U34">C3+E3+F3+H3+I3+K3+L3+N3+O3+T3+Q3+R3</f>
        <v>109.87629999999999</v>
      </c>
    </row>
    <row r="4" spans="1:21" ht="12.75">
      <c r="A4" s="2">
        <v>2</v>
      </c>
      <c r="B4" s="100" t="s">
        <v>3</v>
      </c>
      <c r="C4" s="67">
        <f>'2009年3月'!U4</f>
        <v>14.319200000000002</v>
      </c>
      <c r="D4" s="68"/>
      <c r="E4" s="69"/>
      <c r="F4" s="70">
        <f aca="true" t="shared" si="2" ref="F4:F53">-6.5*D4</f>
        <v>0</v>
      </c>
      <c r="G4" s="68">
        <v>1</v>
      </c>
      <c r="H4" s="69">
        <v>100</v>
      </c>
      <c r="I4" s="70">
        <f>-6.923*G4-10</f>
        <v>-16.923000000000002</v>
      </c>
      <c r="J4" s="68">
        <v>1</v>
      </c>
      <c r="K4" s="69"/>
      <c r="L4" s="70">
        <f t="shared" si="0"/>
        <v>-6.1905</v>
      </c>
      <c r="M4" s="68"/>
      <c r="N4" s="69"/>
      <c r="O4" s="70">
        <f aca="true" t="shared" si="3" ref="O4:O53">-7.8947*M4</f>
        <v>0</v>
      </c>
      <c r="P4" s="68"/>
      <c r="Q4" s="69"/>
      <c r="R4" s="70"/>
      <c r="S4" s="73"/>
      <c r="T4" s="72"/>
      <c r="U4" s="101">
        <f t="shared" si="1"/>
        <v>91.2057</v>
      </c>
    </row>
    <row r="5" spans="1:21" ht="12.75">
      <c r="A5" s="2">
        <v>3</v>
      </c>
      <c r="B5" s="102" t="s">
        <v>340</v>
      </c>
      <c r="C5" s="67">
        <f>'2009年3月'!U5</f>
        <v>90.6773</v>
      </c>
      <c r="D5" s="68"/>
      <c r="E5" s="69"/>
      <c r="F5" s="70">
        <f t="shared" si="2"/>
        <v>0</v>
      </c>
      <c r="G5" s="68">
        <v>1</v>
      </c>
      <c r="H5" s="69"/>
      <c r="I5" s="70">
        <f aca="true" t="shared" si="4" ref="I5:I53">-6.923*G5</f>
        <v>-6.923</v>
      </c>
      <c r="J5" s="68"/>
      <c r="K5" s="69"/>
      <c r="L5" s="70">
        <f t="shared" si="0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1"/>
        <v>83.7543</v>
      </c>
    </row>
    <row r="6" spans="1:23" ht="12.75">
      <c r="A6" s="2">
        <v>4</v>
      </c>
      <c r="B6" s="103" t="s">
        <v>341</v>
      </c>
      <c r="C6" s="74">
        <f>'2009年3月'!U6</f>
        <v>65.9282</v>
      </c>
      <c r="D6" s="80"/>
      <c r="E6" s="76"/>
      <c r="F6" s="77">
        <f t="shared" si="2"/>
        <v>0</v>
      </c>
      <c r="G6" s="80"/>
      <c r="H6" s="76"/>
      <c r="I6" s="77">
        <f t="shared" si="4"/>
        <v>0</v>
      </c>
      <c r="J6" s="80"/>
      <c r="K6" s="76"/>
      <c r="L6" s="77">
        <f t="shared" si="0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1"/>
        <v>65.9282</v>
      </c>
      <c r="W6" s="37"/>
    </row>
    <row r="7" spans="1:21" ht="12.75">
      <c r="A7" s="2">
        <v>5</v>
      </c>
      <c r="B7" s="103" t="s">
        <v>342</v>
      </c>
      <c r="C7" s="74">
        <f>'2009年3月'!U7</f>
        <v>102.6949</v>
      </c>
      <c r="D7" s="75"/>
      <c r="E7" s="76"/>
      <c r="F7" s="77">
        <f t="shared" si="2"/>
        <v>0</v>
      </c>
      <c r="G7" s="75"/>
      <c r="H7" s="76"/>
      <c r="I7" s="77">
        <f t="shared" si="4"/>
        <v>0</v>
      </c>
      <c r="J7" s="75"/>
      <c r="K7" s="76"/>
      <c r="L7" s="77">
        <f t="shared" si="0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1"/>
        <v>102.6949</v>
      </c>
    </row>
    <row r="8" spans="1:21" ht="12.75">
      <c r="A8" s="2">
        <v>6</v>
      </c>
      <c r="B8" s="103" t="s">
        <v>343</v>
      </c>
      <c r="C8" s="74">
        <f>'2009年3月'!U8</f>
        <v>96.93</v>
      </c>
      <c r="D8" s="75"/>
      <c r="E8" s="76"/>
      <c r="F8" s="77">
        <f t="shared" si="2"/>
        <v>0</v>
      </c>
      <c r="G8" s="75"/>
      <c r="H8" s="76"/>
      <c r="I8" s="77">
        <f t="shared" si="4"/>
        <v>0</v>
      </c>
      <c r="J8" s="75"/>
      <c r="K8" s="76"/>
      <c r="L8" s="77">
        <f t="shared" si="0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1"/>
        <v>96.93</v>
      </c>
    </row>
    <row r="9" spans="1:21" ht="12.75">
      <c r="A9" s="2">
        <v>7</v>
      </c>
      <c r="B9" s="106" t="s">
        <v>344</v>
      </c>
      <c r="C9" s="88">
        <f>'2009年3月'!U9</f>
        <v>63.68</v>
      </c>
      <c r="D9" s="89"/>
      <c r="E9" s="90"/>
      <c r="F9" s="91">
        <f t="shared" si="2"/>
        <v>0</v>
      </c>
      <c r="G9" s="89"/>
      <c r="H9" s="90"/>
      <c r="I9" s="91">
        <f t="shared" si="4"/>
        <v>0</v>
      </c>
      <c r="J9" s="89"/>
      <c r="K9" s="90"/>
      <c r="L9" s="91">
        <f t="shared" si="0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1"/>
        <v>63.68</v>
      </c>
    </row>
    <row r="10" spans="1:21" ht="12.75">
      <c r="A10" s="2">
        <v>8</v>
      </c>
      <c r="B10" s="106" t="s">
        <v>345</v>
      </c>
      <c r="C10" s="88">
        <f>'2009年3月'!U10</f>
        <v>50.14</v>
      </c>
      <c r="D10" s="94"/>
      <c r="E10" s="90"/>
      <c r="F10" s="91">
        <f t="shared" si="2"/>
        <v>0</v>
      </c>
      <c r="G10" s="94"/>
      <c r="H10" s="90"/>
      <c r="I10" s="91">
        <f t="shared" si="4"/>
        <v>0</v>
      </c>
      <c r="J10" s="94"/>
      <c r="K10" s="90"/>
      <c r="L10" s="91">
        <f t="shared" si="0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1"/>
        <v>50.14</v>
      </c>
    </row>
    <row r="11" spans="1:21" ht="12.75">
      <c r="A11" s="2">
        <v>9</v>
      </c>
      <c r="B11" s="106" t="s">
        <v>346</v>
      </c>
      <c r="C11" s="88">
        <f>'2009年3月'!U11</f>
        <v>84.48</v>
      </c>
      <c r="D11" s="89"/>
      <c r="E11" s="90"/>
      <c r="F11" s="91">
        <f t="shared" si="2"/>
        <v>0</v>
      </c>
      <c r="G11" s="89"/>
      <c r="H11" s="90"/>
      <c r="I11" s="91">
        <f t="shared" si="4"/>
        <v>0</v>
      </c>
      <c r="J11" s="89"/>
      <c r="K11" s="90"/>
      <c r="L11" s="91">
        <f t="shared" si="0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1"/>
        <v>84.48</v>
      </c>
    </row>
    <row r="12" spans="1:21" ht="12.75">
      <c r="A12" s="2">
        <v>10</v>
      </c>
      <c r="B12" s="104" t="s">
        <v>347</v>
      </c>
      <c r="C12" s="81">
        <f>'2009年3月'!U12</f>
        <v>54.8919</v>
      </c>
      <c r="D12" s="82">
        <v>1</v>
      </c>
      <c r="E12" s="83"/>
      <c r="F12" s="84">
        <f t="shared" si="2"/>
        <v>-6.5</v>
      </c>
      <c r="G12" s="82"/>
      <c r="H12" s="83"/>
      <c r="I12" s="84">
        <f t="shared" si="4"/>
        <v>0</v>
      </c>
      <c r="J12" s="82"/>
      <c r="K12" s="83"/>
      <c r="L12" s="84">
        <f t="shared" si="0"/>
        <v>0</v>
      </c>
      <c r="M12" s="82"/>
      <c r="N12" s="83"/>
      <c r="O12" s="84">
        <f t="shared" si="3"/>
        <v>0</v>
      </c>
      <c r="P12" s="82"/>
      <c r="Q12" s="83"/>
      <c r="R12" s="84"/>
      <c r="S12" s="82"/>
      <c r="T12" s="87"/>
      <c r="U12" s="101">
        <f t="shared" si="1"/>
        <v>48.3919</v>
      </c>
    </row>
    <row r="13" spans="1:21" ht="12.75">
      <c r="A13" s="2">
        <v>11</v>
      </c>
      <c r="B13" s="104" t="s">
        <v>348</v>
      </c>
      <c r="C13" s="81">
        <f>'2009年3月'!U13</f>
        <v>16.22</v>
      </c>
      <c r="D13" s="82"/>
      <c r="E13" s="83"/>
      <c r="F13" s="84">
        <f t="shared" si="2"/>
        <v>0</v>
      </c>
      <c r="G13" s="82"/>
      <c r="H13" s="83"/>
      <c r="I13" s="84">
        <f t="shared" si="4"/>
        <v>0</v>
      </c>
      <c r="J13" s="82"/>
      <c r="K13" s="83"/>
      <c r="L13" s="84">
        <f t="shared" si="0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1"/>
        <v>16.22</v>
      </c>
    </row>
    <row r="14" spans="1:21" ht="12.75">
      <c r="A14" s="2">
        <v>12</v>
      </c>
      <c r="B14" s="104" t="s">
        <v>349</v>
      </c>
      <c r="C14" s="81">
        <f>'2009年3月'!U14</f>
        <v>77.3162</v>
      </c>
      <c r="D14" s="82">
        <v>1</v>
      </c>
      <c r="E14" s="83"/>
      <c r="F14" s="84">
        <f t="shared" si="2"/>
        <v>-6.5</v>
      </c>
      <c r="G14" s="82">
        <v>1</v>
      </c>
      <c r="H14" s="83"/>
      <c r="I14" s="84">
        <f t="shared" si="4"/>
        <v>-6.923</v>
      </c>
      <c r="J14" s="82"/>
      <c r="K14" s="83"/>
      <c r="L14" s="84">
        <f t="shared" si="0"/>
        <v>0</v>
      </c>
      <c r="M14" s="82">
        <v>1</v>
      </c>
      <c r="N14" s="83"/>
      <c r="O14" s="84">
        <f t="shared" si="3"/>
        <v>-7.8947</v>
      </c>
      <c r="P14" s="82"/>
      <c r="Q14" s="83"/>
      <c r="R14" s="84"/>
      <c r="S14" s="82"/>
      <c r="T14" s="87"/>
      <c r="U14" s="101">
        <f t="shared" si="1"/>
        <v>55.99849999999999</v>
      </c>
    </row>
    <row r="15" spans="1:21" ht="12.75">
      <c r="A15" s="2">
        <v>13</v>
      </c>
      <c r="B15" s="105" t="s">
        <v>350</v>
      </c>
      <c r="C15" s="60">
        <f>'2009年3月'!U15</f>
        <v>114.1571</v>
      </c>
      <c r="D15" s="61"/>
      <c r="E15" s="62"/>
      <c r="F15" s="63">
        <f t="shared" si="2"/>
        <v>0</v>
      </c>
      <c r="G15" s="61"/>
      <c r="H15" s="62"/>
      <c r="I15" s="63">
        <f t="shared" si="4"/>
        <v>0</v>
      </c>
      <c r="J15" s="61"/>
      <c r="K15" s="62"/>
      <c r="L15" s="63">
        <f t="shared" si="0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1"/>
        <v>114.1571</v>
      </c>
    </row>
    <row r="16" spans="1:21" ht="12.75">
      <c r="A16" s="2">
        <v>14</v>
      </c>
      <c r="B16" s="105" t="s">
        <v>351</v>
      </c>
      <c r="C16" s="60">
        <f>'2009年3月'!U16</f>
        <v>64.3553</v>
      </c>
      <c r="D16" s="61"/>
      <c r="E16" s="62"/>
      <c r="F16" s="63">
        <f t="shared" si="2"/>
        <v>0</v>
      </c>
      <c r="G16" s="61"/>
      <c r="H16" s="62"/>
      <c r="I16" s="63">
        <f t="shared" si="4"/>
        <v>0</v>
      </c>
      <c r="J16" s="61">
        <v>1</v>
      </c>
      <c r="K16" s="62"/>
      <c r="L16" s="63">
        <f>-6.1905*J16-10</f>
        <v>-16.1905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1"/>
        <v>48.1648</v>
      </c>
    </row>
    <row r="17" spans="1:21" ht="12.75">
      <c r="A17" s="2">
        <v>15</v>
      </c>
      <c r="B17" s="105" t="s">
        <v>352</v>
      </c>
      <c r="C17" s="60">
        <f>'2009年3月'!U17</f>
        <v>20.72</v>
      </c>
      <c r="D17" s="61"/>
      <c r="E17" s="62"/>
      <c r="F17" s="63">
        <f t="shared" si="2"/>
        <v>0</v>
      </c>
      <c r="G17" s="61"/>
      <c r="H17" s="62"/>
      <c r="I17" s="63">
        <f t="shared" si="4"/>
        <v>0</v>
      </c>
      <c r="J17" s="61"/>
      <c r="K17" s="62"/>
      <c r="L17" s="63">
        <f aca="true" t="shared" si="5" ref="L17:L22">-6.1905*J17</f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1"/>
        <v>20.72</v>
      </c>
    </row>
    <row r="18" spans="1:21" ht="12.75">
      <c r="A18" s="2">
        <v>16</v>
      </c>
      <c r="B18" s="102" t="s">
        <v>353</v>
      </c>
      <c r="C18" s="67">
        <f>'2009年3月'!U18</f>
        <v>30.952299999999997</v>
      </c>
      <c r="D18" s="68">
        <v>3</v>
      </c>
      <c r="E18" s="69"/>
      <c r="F18" s="70">
        <f t="shared" si="2"/>
        <v>-19.5</v>
      </c>
      <c r="G18" s="68">
        <v>2</v>
      </c>
      <c r="H18" s="69">
        <v>100</v>
      </c>
      <c r="I18" s="70">
        <f t="shared" si="4"/>
        <v>-13.846</v>
      </c>
      <c r="J18" s="68">
        <v>1</v>
      </c>
      <c r="K18" s="69"/>
      <c r="L18" s="70">
        <f t="shared" si="5"/>
        <v>-6.1905</v>
      </c>
      <c r="M18" s="68">
        <v>1</v>
      </c>
      <c r="N18" s="69"/>
      <c r="O18" s="70">
        <f t="shared" si="3"/>
        <v>-7.8947</v>
      </c>
      <c r="P18" s="68"/>
      <c r="Q18" s="69"/>
      <c r="R18" s="70"/>
      <c r="S18" s="68"/>
      <c r="T18" s="72"/>
      <c r="U18" s="101">
        <f t="shared" si="1"/>
        <v>83.52109999999999</v>
      </c>
    </row>
    <row r="19" spans="1:23" ht="12.75">
      <c r="A19" s="2">
        <v>17</v>
      </c>
      <c r="B19" s="102" t="s">
        <v>354</v>
      </c>
      <c r="C19" s="67">
        <f>'2009年3月'!U19</f>
        <v>46.406000000000006</v>
      </c>
      <c r="D19" s="68"/>
      <c r="E19" s="69"/>
      <c r="F19" s="70">
        <f t="shared" si="2"/>
        <v>0</v>
      </c>
      <c r="G19" s="68">
        <v>2</v>
      </c>
      <c r="H19" s="69"/>
      <c r="I19" s="70">
        <f t="shared" si="4"/>
        <v>-13.846</v>
      </c>
      <c r="J19" s="68"/>
      <c r="K19" s="69"/>
      <c r="L19" s="70">
        <f t="shared" si="5"/>
        <v>0</v>
      </c>
      <c r="M19" s="68">
        <v>2</v>
      </c>
      <c r="N19" s="69"/>
      <c r="O19" s="70">
        <f t="shared" si="3"/>
        <v>-15.7894</v>
      </c>
      <c r="P19" s="68"/>
      <c r="Q19" s="69"/>
      <c r="R19" s="70"/>
      <c r="S19" s="73"/>
      <c r="T19" s="72"/>
      <c r="U19" s="101">
        <f t="shared" si="1"/>
        <v>16.7706</v>
      </c>
      <c r="W19" s="37"/>
    </row>
    <row r="20" spans="1:21" ht="12.75">
      <c r="A20" s="2">
        <v>18</v>
      </c>
      <c r="B20" s="102" t="s">
        <v>355</v>
      </c>
      <c r="C20" s="67">
        <f>'2009年3月'!U20</f>
        <v>70.16</v>
      </c>
      <c r="D20" s="68"/>
      <c r="E20" s="69"/>
      <c r="F20" s="70">
        <f t="shared" si="2"/>
        <v>0</v>
      </c>
      <c r="G20" s="68"/>
      <c r="H20" s="69"/>
      <c r="I20" s="70">
        <f t="shared" si="4"/>
        <v>0</v>
      </c>
      <c r="J20" s="68"/>
      <c r="K20" s="69"/>
      <c r="L20" s="70">
        <f t="shared" si="5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1"/>
        <v>70.16</v>
      </c>
    </row>
    <row r="21" spans="1:21" ht="12.75">
      <c r="A21" s="2">
        <v>19</v>
      </c>
      <c r="B21" s="103" t="s">
        <v>356</v>
      </c>
      <c r="C21" s="74">
        <f>'2009年3月'!U21</f>
        <v>34.52</v>
      </c>
      <c r="D21" s="75"/>
      <c r="E21" s="76"/>
      <c r="F21" s="77">
        <f t="shared" si="2"/>
        <v>0</v>
      </c>
      <c r="G21" s="75"/>
      <c r="H21" s="76"/>
      <c r="I21" s="77">
        <f t="shared" si="4"/>
        <v>0</v>
      </c>
      <c r="J21" s="75"/>
      <c r="K21" s="76"/>
      <c r="L21" s="77">
        <f t="shared" si="5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1"/>
        <v>34.52</v>
      </c>
    </row>
    <row r="22" spans="1:21" ht="12.75">
      <c r="A22" s="2">
        <v>20</v>
      </c>
      <c r="B22" s="103" t="s">
        <v>357</v>
      </c>
      <c r="C22" s="74">
        <f>'2009年3月'!U22</f>
        <v>89.07759999999999</v>
      </c>
      <c r="D22" s="75"/>
      <c r="E22" s="76"/>
      <c r="F22" s="77">
        <f t="shared" si="2"/>
        <v>0</v>
      </c>
      <c r="G22" s="75">
        <v>1</v>
      </c>
      <c r="H22" s="76"/>
      <c r="I22" s="77">
        <f t="shared" si="4"/>
        <v>-6.923</v>
      </c>
      <c r="J22" s="75">
        <v>1</v>
      </c>
      <c r="K22" s="76"/>
      <c r="L22" s="77">
        <f t="shared" si="5"/>
        <v>-6.1905</v>
      </c>
      <c r="M22" s="75">
        <v>1</v>
      </c>
      <c r="N22" s="76"/>
      <c r="O22" s="77">
        <f t="shared" si="3"/>
        <v>-7.8947</v>
      </c>
      <c r="P22" s="75"/>
      <c r="Q22" s="76"/>
      <c r="R22" s="77"/>
      <c r="S22" s="75"/>
      <c r="T22" s="79"/>
      <c r="U22" s="101">
        <f t="shared" si="1"/>
        <v>68.06939999999999</v>
      </c>
    </row>
    <row r="23" spans="1:21" ht="12.75">
      <c r="A23" s="2">
        <v>21</v>
      </c>
      <c r="B23" s="103" t="s">
        <v>358</v>
      </c>
      <c r="C23" s="74">
        <f>'2009年3月'!U23</f>
        <v>31.957299999999996</v>
      </c>
      <c r="D23" s="75">
        <v>1</v>
      </c>
      <c r="E23" s="76"/>
      <c r="F23" s="77">
        <f t="shared" si="2"/>
        <v>-6.5</v>
      </c>
      <c r="G23" s="75"/>
      <c r="H23" s="76"/>
      <c r="I23" s="77">
        <f t="shared" si="4"/>
        <v>0</v>
      </c>
      <c r="J23" s="75"/>
      <c r="K23" s="76"/>
      <c r="L23" s="77">
        <f aca="true" t="shared" si="6" ref="L23:L53">-6.1905*J23</f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1"/>
        <v>25.457299999999996</v>
      </c>
    </row>
    <row r="24" spans="1:21" ht="12.75">
      <c r="A24" s="2">
        <v>22</v>
      </c>
      <c r="B24" s="106" t="s">
        <v>359</v>
      </c>
      <c r="C24" s="88">
        <f>'2009年3月'!U24</f>
        <v>53.171699999999994</v>
      </c>
      <c r="D24" s="89">
        <v>1</v>
      </c>
      <c r="E24" s="90"/>
      <c r="F24" s="91">
        <f t="shared" si="2"/>
        <v>-6.5</v>
      </c>
      <c r="G24" s="89">
        <v>1</v>
      </c>
      <c r="H24" s="90"/>
      <c r="I24" s="91">
        <f t="shared" si="4"/>
        <v>-6.923</v>
      </c>
      <c r="J24" s="89"/>
      <c r="K24" s="90"/>
      <c r="L24" s="91">
        <f t="shared" si="6"/>
        <v>0</v>
      </c>
      <c r="M24" s="89">
        <v>1</v>
      </c>
      <c r="N24" s="90"/>
      <c r="O24" s="91">
        <f t="shared" si="3"/>
        <v>-7.8947</v>
      </c>
      <c r="P24" s="89"/>
      <c r="Q24" s="90"/>
      <c r="R24" s="91"/>
      <c r="S24" s="89"/>
      <c r="T24" s="93"/>
      <c r="U24" s="101">
        <f t="shared" si="1"/>
        <v>31.853999999999992</v>
      </c>
    </row>
    <row r="25" spans="1:21" ht="12.75">
      <c r="A25" s="2">
        <v>23</v>
      </c>
      <c r="B25" s="106" t="s">
        <v>360</v>
      </c>
      <c r="C25" s="88">
        <f>'2009年3月'!U25</f>
        <v>88.93449999999999</v>
      </c>
      <c r="D25" s="89">
        <v>1</v>
      </c>
      <c r="E25" s="90"/>
      <c r="F25" s="91">
        <f t="shared" si="2"/>
        <v>-6.5</v>
      </c>
      <c r="G25" s="89"/>
      <c r="H25" s="90"/>
      <c r="I25" s="91">
        <f t="shared" si="4"/>
        <v>0</v>
      </c>
      <c r="J25" s="89">
        <v>1</v>
      </c>
      <c r="K25" s="90"/>
      <c r="L25" s="91">
        <f t="shared" si="6"/>
        <v>-6.1905</v>
      </c>
      <c r="M25" s="89">
        <v>1</v>
      </c>
      <c r="N25" s="90"/>
      <c r="O25" s="91">
        <f t="shared" si="3"/>
        <v>-7.8947</v>
      </c>
      <c r="P25" s="89"/>
      <c r="Q25" s="90"/>
      <c r="R25" s="91"/>
      <c r="S25" s="89"/>
      <c r="T25" s="93"/>
      <c r="U25" s="101">
        <f t="shared" si="1"/>
        <v>68.34929999999999</v>
      </c>
    </row>
    <row r="26" spans="1:21" ht="12.75">
      <c r="A26" s="2">
        <v>24</v>
      </c>
      <c r="B26" s="106" t="s">
        <v>361</v>
      </c>
      <c r="C26" s="88">
        <f>'2009年3月'!U26</f>
        <v>81.77099999999999</v>
      </c>
      <c r="D26" s="89">
        <v>1</v>
      </c>
      <c r="E26" s="90"/>
      <c r="F26" s="91">
        <f t="shared" si="2"/>
        <v>-6.5</v>
      </c>
      <c r="G26" s="89">
        <v>1</v>
      </c>
      <c r="H26" s="90"/>
      <c r="I26" s="91">
        <f t="shared" si="4"/>
        <v>-6.923</v>
      </c>
      <c r="J26" s="89">
        <v>1</v>
      </c>
      <c r="K26" s="90"/>
      <c r="L26" s="91">
        <f t="shared" si="6"/>
        <v>-6.1905</v>
      </c>
      <c r="M26" s="89"/>
      <c r="N26" s="90"/>
      <c r="O26" s="91">
        <f t="shared" si="3"/>
        <v>0</v>
      </c>
      <c r="P26" s="89"/>
      <c r="Q26" s="90"/>
      <c r="R26" s="91"/>
      <c r="S26" s="94"/>
      <c r="T26" s="93"/>
      <c r="U26" s="101">
        <f t="shared" si="1"/>
        <v>62.157499999999985</v>
      </c>
    </row>
    <row r="27" spans="1:21" ht="12.75">
      <c r="A27" s="2">
        <v>25</v>
      </c>
      <c r="B27" s="104" t="s">
        <v>362</v>
      </c>
      <c r="C27" s="81">
        <f>'2009年3月'!U27</f>
        <v>42.63</v>
      </c>
      <c r="D27" s="82"/>
      <c r="E27" s="98"/>
      <c r="F27" s="84">
        <f t="shared" si="2"/>
        <v>0</v>
      </c>
      <c r="G27" s="82"/>
      <c r="H27" s="98"/>
      <c r="I27" s="84">
        <f t="shared" si="4"/>
        <v>0</v>
      </c>
      <c r="J27" s="82"/>
      <c r="K27" s="98"/>
      <c r="L27" s="84">
        <f t="shared" si="6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1"/>
        <v>42.63</v>
      </c>
    </row>
    <row r="28" spans="1:21" ht="12.75">
      <c r="A28" s="2">
        <v>26</v>
      </c>
      <c r="B28" s="104" t="s">
        <v>363</v>
      </c>
      <c r="C28" s="81">
        <f>'2009年3月'!U28</f>
        <v>2.071799999999988</v>
      </c>
      <c r="D28" s="86"/>
      <c r="E28" s="98"/>
      <c r="F28" s="84">
        <f t="shared" si="2"/>
        <v>0</v>
      </c>
      <c r="G28" s="86">
        <v>1</v>
      </c>
      <c r="H28" s="98"/>
      <c r="I28" s="84">
        <f t="shared" si="4"/>
        <v>-6.923</v>
      </c>
      <c r="J28" s="86">
        <v>1</v>
      </c>
      <c r="K28" s="98"/>
      <c r="L28" s="84">
        <f t="shared" si="6"/>
        <v>-6.1905</v>
      </c>
      <c r="M28" s="86">
        <v>1</v>
      </c>
      <c r="N28" s="98"/>
      <c r="O28" s="84">
        <f t="shared" si="3"/>
        <v>-7.8947</v>
      </c>
      <c r="P28" s="86"/>
      <c r="Q28" s="98"/>
      <c r="R28" s="84"/>
      <c r="S28" s="86"/>
      <c r="T28" s="87"/>
      <c r="U28" s="101">
        <f t="shared" si="1"/>
        <v>-18.936400000000013</v>
      </c>
    </row>
    <row r="29" spans="1:21" ht="12.75">
      <c r="A29" s="2">
        <v>27</v>
      </c>
      <c r="B29" s="104" t="s">
        <v>364</v>
      </c>
      <c r="C29" s="81">
        <f>'2009年3月'!U29</f>
        <v>71.3853</v>
      </c>
      <c r="D29" s="82">
        <v>1</v>
      </c>
      <c r="E29" s="83"/>
      <c r="F29" s="84">
        <f t="shared" si="2"/>
        <v>-6.5</v>
      </c>
      <c r="G29" s="82"/>
      <c r="H29" s="83"/>
      <c r="I29" s="84">
        <f t="shared" si="4"/>
        <v>0</v>
      </c>
      <c r="J29" s="82"/>
      <c r="K29" s="83"/>
      <c r="L29" s="84">
        <f t="shared" si="6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1"/>
        <v>64.8853</v>
      </c>
    </row>
    <row r="30" spans="1:22" ht="12.75">
      <c r="A30" s="2">
        <v>28</v>
      </c>
      <c r="B30" s="105" t="s">
        <v>365</v>
      </c>
      <c r="C30" s="60">
        <f>'2009年3月'!U30</f>
        <v>63.609199999999994</v>
      </c>
      <c r="D30" s="66">
        <v>1</v>
      </c>
      <c r="E30" s="99"/>
      <c r="F30" s="63">
        <f t="shared" si="2"/>
        <v>-6.5</v>
      </c>
      <c r="G30" s="66">
        <v>1</v>
      </c>
      <c r="H30" s="99"/>
      <c r="I30" s="63">
        <f t="shared" si="4"/>
        <v>-6.923</v>
      </c>
      <c r="J30" s="66">
        <v>1</v>
      </c>
      <c r="K30" s="99"/>
      <c r="L30" s="63">
        <f t="shared" si="6"/>
        <v>-6.1905</v>
      </c>
      <c r="M30" s="66">
        <v>1</v>
      </c>
      <c r="N30" s="99"/>
      <c r="O30" s="63">
        <f t="shared" si="3"/>
        <v>-7.8947</v>
      </c>
      <c r="P30" s="66"/>
      <c r="Q30" s="99"/>
      <c r="R30" s="63"/>
      <c r="S30" s="66"/>
      <c r="T30" s="65"/>
      <c r="U30" s="101">
        <f t="shared" si="1"/>
        <v>36.10099999999999</v>
      </c>
      <c r="V30" s="37"/>
    </row>
    <row r="31" spans="1:21" ht="12.75">
      <c r="A31" s="2">
        <v>29</v>
      </c>
      <c r="B31" s="105" t="s">
        <v>366</v>
      </c>
      <c r="C31" s="60">
        <f>'2009年3月'!U31</f>
        <v>-26.676500000000004</v>
      </c>
      <c r="D31" s="61"/>
      <c r="E31" s="99"/>
      <c r="F31" s="63">
        <f t="shared" si="2"/>
        <v>0</v>
      </c>
      <c r="G31" s="61"/>
      <c r="H31" s="99"/>
      <c r="I31" s="63">
        <f t="shared" si="4"/>
        <v>0</v>
      </c>
      <c r="J31" s="61"/>
      <c r="K31" s="99"/>
      <c r="L31" s="63">
        <f t="shared" si="6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1"/>
        <v>-26.676500000000004</v>
      </c>
    </row>
    <row r="32" spans="1:21" ht="12.75">
      <c r="A32" s="2">
        <v>30</v>
      </c>
      <c r="B32" s="105" t="s">
        <v>367</v>
      </c>
      <c r="C32" s="60">
        <f>'2009年3月'!U32</f>
        <v>67.18009999999998</v>
      </c>
      <c r="D32" s="66"/>
      <c r="E32" s="99"/>
      <c r="F32" s="63">
        <f t="shared" si="2"/>
        <v>0</v>
      </c>
      <c r="G32" s="66"/>
      <c r="H32" s="99"/>
      <c r="I32" s="63">
        <f t="shared" si="4"/>
        <v>0</v>
      </c>
      <c r="J32" s="66"/>
      <c r="K32" s="99"/>
      <c r="L32" s="63">
        <f t="shared" si="6"/>
        <v>0</v>
      </c>
      <c r="M32" s="66">
        <v>1</v>
      </c>
      <c r="N32" s="99"/>
      <c r="O32" s="63">
        <f t="shared" si="3"/>
        <v>-7.8947</v>
      </c>
      <c r="P32" s="66"/>
      <c r="Q32" s="99"/>
      <c r="R32" s="63"/>
      <c r="S32" s="66"/>
      <c r="T32" s="65"/>
      <c r="U32" s="101">
        <f t="shared" si="1"/>
        <v>59.28539999999998</v>
      </c>
    </row>
    <row r="33" spans="1:21" ht="12.75">
      <c r="A33" s="2">
        <v>31</v>
      </c>
      <c r="B33" s="102" t="s">
        <v>368</v>
      </c>
      <c r="C33" s="67">
        <f>'2009年3月'!U33</f>
        <v>44.812200000000004</v>
      </c>
      <c r="D33" s="68"/>
      <c r="E33" s="69"/>
      <c r="F33" s="70">
        <f t="shared" si="2"/>
        <v>0</v>
      </c>
      <c r="G33" s="68">
        <v>1</v>
      </c>
      <c r="H33" s="69"/>
      <c r="I33" s="70">
        <f t="shared" si="4"/>
        <v>-6.923</v>
      </c>
      <c r="J33" s="68">
        <v>1</v>
      </c>
      <c r="K33" s="69"/>
      <c r="L33" s="70">
        <f t="shared" si="6"/>
        <v>-6.1905</v>
      </c>
      <c r="M33" s="68">
        <v>1</v>
      </c>
      <c r="N33" s="69"/>
      <c r="O33" s="70">
        <f t="shared" si="3"/>
        <v>-7.8947</v>
      </c>
      <c r="P33" s="68"/>
      <c r="Q33" s="69"/>
      <c r="R33" s="70"/>
      <c r="S33" s="68"/>
      <c r="T33" s="72"/>
      <c r="U33" s="101">
        <f t="shared" si="1"/>
        <v>23.804000000000002</v>
      </c>
    </row>
    <row r="34" spans="1:21" ht="12.75">
      <c r="A34" s="2">
        <v>32</v>
      </c>
      <c r="B34" s="102" t="s">
        <v>369</v>
      </c>
      <c r="C34" s="67">
        <f>'2009年3月'!U34</f>
        <v>103.32449999999999</v>
      </c>
      <c r="D34" s="68"/>
      <c r="E34" s="69"/>
      <c r="F34" s="70">
        <f t="shared" si="2"/>
        <v>0</v>
      </c>
      <c r="G34" s="68">
        <v>1</v>
      </c>
      <c r="H34" s="69"/>
      <c r="I34" s="70">
        <f t="shared" si="4"/>
        <v>-6.923</v>
      </c>
      <c r="J34" s="68">
        <v>1</v>
      </c>
      <c r="K34" s="69"/>
      <c r="L34" s="70">
        <f t="shared" si="6"/>
        <v>-6.1905</v>
      </c>
      <c r="M34" s="68">
        <v>1</v>
      </c>
      <c r="N34" s="69"/>
      <c r="O34" s="70">
        <f t="shared" si="3"/>
        <v>-7.8947</v>
      </c>
      <c r="P34" s="68"/>
      <c r="Q34" s="69"/>
      <c r="R34" s="70"/>
      <c r="S34" s="73"/>
      <c r="T34" s="72"/>
      <c r="U34" s="101">
        <f t="shared" si="1"/>
        <v>82.31629999999998</v>
      </c>
    </row>
    <row r="35" spans="1:21" ht="12.75">
      <c r="A35" s="2">
        <v>33</v>
      </c>
      <c r="B35" s="102" t="s">
        <v>370</v>
      </c>
      <c r="C35" s="67">
        <f>'2009年3月'!U35</f>
        <v>39.1663</v>
      </c>
      <c r="D35" s="68">
        <v>1</v>
      </c>
      <c r="E35" s="69"/>
      <c r="F35" s="70">
        <f t="shared" si="2"/>
        <v>-6.5</v>
      </c>
      <c r="G35" s="68">
        <v>1</v>
      </c>
      <c r="H35" s="69"/>
      <c r="I35" s="70">
        <f t="shared" si="4"/>
        <v>-6.923</v>
      </c>
      <c r="J35" s="68">
        <v>1</v>
      </c>
      <c r="K35" s="69"/>
      <c r="L35" s="70">
        <f t="shared" si="6"/>
        <v>-6.1905</v>
      </c>
      <c r="M35" s="68">
        <v>1</v>
      </c>
      <c r="N35" s="69"/>
      <c r="O35" s="70">
        <f t="shared" si="3"/>
        <v>-7.8947</v>
      </c>
      <c r="P35" s="68"/>
      <c r="Q35" s="69"/>
      <c r="R35" s="70"/>
      <c r="S35" s="68"/>
      <c r="T35" s="72"/>
      <c r="U35" s="101">
        <f aca="true" t="shared" si="7" ref="U35:U53">C35+E35+F35+H35+I35+K35+L35+N35+O35+T35+Q35+R35</f>
        <v>11.658099999999997</v>
      </c>
    </row>
    <row r="36" spans="1:21" ht="12.75">
      <c r="A36" s="2">
        <v>34</v>
      </c>
      <c r="B36" s="103" t="s">
        <v>371</v>
      </c>
      <c r="C36" s="74">
        <f>'2009年3月'!U36</f>
        <v>38.13</v>
      </c>
      <c r="D36" s="75"/>
      <c r="E36" s="76"/>
      <c r="F36" s="77">
        <f t="shared" si="2"/>
        <v>0</v>
      </c>
      <c r="G36" s="75"/>
      <c r="H36" s="76"/>
      <c r="I36" s="77">
        <f t="shared" si="4"/>
        <v>0</v>
      </c>
      <c r="J36" s="75"/>
      <c r="K36" s="76"/>
      <c r="L36" s="77">
        <f t="shared" si="6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7"/>
        <v>38.13</v>
      </c>
    </row>
    <row r="37" spans="1:22" ht="12.75">
      <c r="A37" s="2">
        <v>35</v>
      </c>
      <c r="B37" s="103" t="s">
        <v>372</v>
      </c>
      <c r="C37" s="74">
        <f>'2009年3月'!U37</f>
        <v>68.64049999999999</v>
      </c>
      <c r="D37" s="75">
        <v>1</v>
      </c>
      <c r="E37" s="76"/>
      <c r="F37" s="77">
        <f t="shared" si="2"/>
        <v>-6.5</v>
      </c>
      <c r="G37" s="75">
        <v>1</v>
      </c>
      <c r="H37" s="76"/>
      <c r="I37" s="77">
        <f t="shared" si="4"/>
        <v>-6.923</v>
      </c>
      <c r="J37" s="75">
        <v>1</v>
      </c>
      <c r="K37" s="76"/>
      <c r="L37" s="77">
        <f t="shared" si="6"/>
        <v>-6.1905</v>
      </c>
      <c r="M37" s="75">
        <v>1</v>
      </c>
      <c r="N37" s="76"/>
      <c r="O37" s="77">
        <f t="shared" si="3"/>
        <v>-7.8947</v>
      </c>
      <c r="P37" s="75"/>
      <c r="Q37" s="76"/>
      <c r="R37" s="77"/>
      <c r="S37" s="75"/>
      <c r="T37" s="79"/>
      <c r="U37" s="101">
        <f t="shared" si="7"/>
        <v>41.13229999999999</v>
      </c>
      <c r="V37" s="37"/>
    </row>
    <row r="38" spans="1:21" ht="12.75">
      <c r="A38" s="2">
        <v>36</v>
      </c>
      <c r="B38" s="103" t="s">
        <v>373</v>
      </c>
      <c r="C38" s="74">
        <f>'2009年3月'!U38</f>
        <v>19.052200000000006</v>
      </c>
      <c r="D38" s="75">
        <v>1</v>
      </c>
      <c r="E38" s="76"/>
      <c r="F38" s="77">
        <f t="shared" si="2"/>
        <v>-6.5</v>
      </c>
      <c r="G38" s="75">
        <v>1</v>
      </c>
      <c r="H38" s="76"/>
      <c r="I38" s="77">
        <f t="shared" si="4"/>
        <v>-6.923</v>
      </c>
      <c r="J38" s="75">
        <v>1</v>
      </c>
      <c r="K38" s="76"/>
      <c r="L38" s="77">
        <f t="shared" si="6"/>
        <v>-6.1905</v>
      </c>
      <c r="M38" s="75">
        <v>1</v>
      </c>
      <c r="N38" s="76">
        <v>50</v>
      </c>
      <c r="O38" s="77">
        <f t="shared" si="3"/>
        <v>-7.8947</v>
      </c>
      <c r="P38" s="75"/>
      <c r="Q38" s="76"/>
      <c r="R38" s="77"/>
      <c r="S38" s="80"/>
      <c r="T38" s="79"/>
      <c r="U38" s="101">
        <f t="shared" si="7"/>
        <v>41.544000000000004</v>
      </c>
    </row>
    <row r="39" spans="1:21" ht="12.75">
      <c r="A39" s="2">
        <v>37</v>
      </c>
      <c r="B39" s="106" t="s">
        <v>374</v>
      </c>
      <c r="C39" s="88">
        <f>'2009年3月'!U39</f>
        <v>74.5671</v>
      </c>
      <c r="D39" s="89"/>
      <c r="E39" s="90"/>
      <c r="F39" s="91">
        <f t="shared" si="2"/>
        <v>0</v>
      </c>
      <c r="G39" s="89"/>
      <c r="H39" s="90"/>
      <c r="I39" s="91">
        <f t="shared" si="4"/>
        <v>0</v>
      </c>
      <c r="J39" s="89"/>
      <c r="K39" s="90"/>
      <c r="L39" s="91">
        <f t="shared" si="6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7"/>
        <v>74.5671</v>
      </c>
    </row>
    <row r="40" spans="1:21" ht="12.75">
      <c r="A40" s="2">
        <v>38</v>
      </c>
      <c r="B40" s="106" t="s">
        <v>375</v>
      </c>
      <c r="C40" s="88">
        <f>'2009年3月'!U40</f>
        <v>101.0316</v>
      </c>
      <c r="D40" s="89"/>
      <c r="E40" s="90"/>
      <c r="F40" s="91">
        <f t="shared" si="2"/>
        <v>0</v>
      </c>
      <c r="G40" s="89">
        <v>2</v>
      </c>
      <c r="H40" s="90"/>
      <c r="I40" s="91">
        <f>-6.923*G40-10</f>
        <v>-23.846</v>
      </c>
      <c r="J40" s="89"/>
      <c r="K40" s="90"/>
      <c r="L40" s="91">
        <f t="shared" si="6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7"/>
        <v>77.1856</v>
      </c>
    </row>
    <row r="41" spans="1:21" ht="12.75">
      <c r="A41" s="2">
        <v>39</v>
      </c>
      <c r="B41" s="106" t="s">
        <v>376</v>
      </c>
      <c r="C41" s="88">
        <f>'2009年3月'!U41</f>
        <v>16.53</v>
      </c>
      <c r="D41" s="89">
        <v>1</v>
      </c>
      <c r="E41" s="90"/>
      <c r="F41" s="91">
        <f>-6.5*D41-10</f>
        <v>-16.5</v>
      </c>
      <c r="G41" s="89"/>
      <c r="H41" s="90"/>
      <c r="I41" s="91">
        <f t="shared" si="4"/>
        <v>0</v>
      </c>
      <c r="J41" s="89"/>
      <c r="K41" s="90"/>
      <c r="L41" s="91">
        <f t="shared" si="6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7"/>
        <v>0.030000000000001137</v>
      </c>
    </row>
    <row r="42" spans="1:21" ht="12.75">
      <c r="A42" s="2">
        <v>40</v>
      </c>
      <c r="B42" s="104" t="s">
        <v>377</v>
      </c>
      <c r="C42" s="81">
        <f>'2009年3月'!U42</f>
        <v>22.08</v>
      </c>
      <c r="D42" s="82"/>
      <c r="E42" s="98"/>
      <c r="F42" s="84">
        <f t="shared" si="2"/>
        <v>0</v>
      </c>
      <c r="G42" s="82"/>
      <c r="H42" s="98"/>
      <c r="I42" s="84">
        <f t="shared" si="4"/>
        <v>0</v>
      </c>
      <c r="J42" s="82"/>
      <c r="K42" s="98"/>
      <c r="L42" s="84">
        <f t="shared" si="6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7"/>
        <v>22.08</v>
      </c>
    </row>
    <row r="43" spans="1:21" ht="12.75">
      <c r="A43" s="2">
        <v>41</v>
      </c>
      <c r="B43" s="104" t="s">
        <v>378</v>
      </c>
      <c r="C43" s="81">
        <f>'2009年3月'!U43</f>
        <v>74.1091</v>
      </c>
      <c r="D43" s="86">
        <v>1</v>
      </c>
      <c r="E43" s="98"/>
      <c r="F43" s="84">
        <f t="shared" si="2"/>
        <v>-6.5</v>
      </c>
      <c r="G43" s="86">
        <v>1</v>
      </c>
      <c r="H43" s="98"/>
      <c r="I43" s="84">
        <f t="shared" si="4"/>
        <v>-6.923</v>
      </c>
      <c r="J43" s="86">
        <v>1</v>
      </c>
      <c r="K43" s="98"/>
      <c r="L43" s="84">
        <f t="shared" si="6"/>
        <v>-6.1905</v>
      </c>
      <c r="M43" s="86">
        <v>1</v>
      </c>
      <c r="N43" s="98"/>
      <c r="O43" s="84">
        <f t="shared" si="3"/>
        <v>-7.8947</v>
      </c>
      <c r="P43" s="86"/>
      <c r="Q43" s="98"/>
      <c r="R43" s="84"/>
      <c r="S43" s="86"/>
      <c r="T43" s="87"/>
      <c r="U43" s="101">
        <f t="shared" si="7"/>
        <v>46.600899999999996</v>
      </c>
    </row>
    <row r="44" spans="1:21" ht="12.75">
      <c r="A44" s="2">
        <v>42</v>
      </c>
      <c r="B44" s="104" t="s">
        <v>379</v>
      </c>
      <c r="C44" s="81">
        <f>'2009年3月'!U44</f>
        <v>84.96</v>
      </c>
      <c r="D44" s="86"/>
      <c r="E44" s="98"/>
      <c r="F44" s="84">
        <f t="shared" si="2"/>
        <v>0</v>
      </c>
      <c r="G44" s="86"/>
      <c r="H44" s="98"/>
      <c r="I44" s="84">
        <f t="shared" si="4"/>
        <v>0</v>
      </c>
      <c r="J44" s="86"/>
      <c r="K44" s="98"/>
      <c r="L44" s="84">
        <f t="shared" si="6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7"/>
        <v>84.96</v>
      </c>
    </row>
    <row r="45" spans="1:21" ht="12.75">
      <c r="A45" s="2">
        <v>43</v>
      </c>
      <c r="B45" s="105" t="s">
        <v>380</v>
      </c>
      <c r="C45" s="60">
        <f>'2009年3月'!U45</f>
        <v>6.038999999999998</v>
      </c>
      <c r="D45" s="66"/>
      <c r="E45" s="99"/>
      <c r="F45" s="63">
        <f t="shared" si="2"/>
        <v>0</v>
      </c>
      <c r="G45" s="66"/>
      <c r="H45" s="99"/>
      <c r="I45" s="63">
        <f t="shared" si="4"/>
        <v>0</v>
      </c>
      <c r="J45" s="66"/>
      <c r="K45" s="99"/>
      <c r="L45" s="63">
        <f t="shared" si="6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7"/>
        <v>6.038999999999998</v>
      </c>
    </row>
    <row r="46" spans="1:21" ht="12.75">
      <c r="A46" s="2">
        <v>44</v>
      </c>
      <c r="B46" s="109">
        <v>9631</v>
      </c>
      <c r="C46" s="60">
        <f>'2009年3月'!U46</f>
        <v>102.4927</v>
      </c>
      <c r="D46" s="61"/>
      <c r="E46" s="99"/>
      <c r="F46" s="63">
        <f t="shared" si="2"/>
        <v>0</v>
      </c>
      <c r="G46" s="61">
        <v>1</v>
      </c>
      <c r="H46" s="99"/>
      <c r="I46" s="63">
        <f t="shared" si="4"/>
        <v>-6.923</v>
      </c>
      <c r="J46" s="61">
        <v>1</v>
      </c>
      <c r="K46" s="99"/>
      <c r="L46" s="63">
        <f t="shared" si="6"/>
        <v>-6.1905</v>
      </c>
      <c r="M46" s="61"/>
      <c r="N46" s="99"/>
      <c r="O46" s="63">
        <f t="shared" si="3"/>
        <v>0</v>
      </c>
      <c r="P46" s="61"/>
      <c r="Q46" s="99"/>
      <c r="R46" s="63"/>
      <c r="S46" s="61"/>
      <c r="T46" s="65"/>
      <c r="U46" s="101">
        <f t="shared" si="7"/>
        <v>89.3792</v>
      </c>
    </row>
    <row r="47" spans="1:21" ht="12.75">
      <c r="A47" s="2">
        <v>45</v>
      </c>
      <c r="B47" s="105" t="s">
        <v>381</v>
      </c>
      <c r="C47" s="60">
        <f>'2009年3月'!U47</f>
        <v>68.21699999999998</v>
      </c>
      <c r="D47" s="66">
        <v>1</v>
      </c>
      <c r="E47" s="99"/>
      <c r="F47" s="63">
        <f t="shared" si="2"/>
        <v>-6.5</v>
      </c>
      <c r="G47" s="66">
        <v>1</v>
      </c>
      <c r="H47" s="99"/>
      <c r="I47" s="63">
        <f t="shared" si="4"/>
        <v>-6.923</v>
      </c>
      <c r="J47" s="66">
        <v>1</v>
      </c>
      <c r="K47" s="99"/>
      <c r="L47" s="63">
        <f t="shared" si="6"/>
        <v>-6.1905</v>
      </c>
      <c r="M47" s="66"/>
      <c r="N47" s="99"/>
      <c r="O47" s="63">
        <f t="shared" si="3"/>
        <v>0</v>
      </c>
      <c r="P47" s="66"/>
      <c r="Q47" s="99"/>
      <c r="R47" s="63"/>
      <c r="S47" s="66"/>
      <c r="T47" s="65"/>
      <c r="U47" s="101">
        <f t="shared" si="7"/>
        <v>48.60349999999998</v>
      </c>
    </row>
    <row r="48" spans="1:21" ht="12.75">
      <c r="A48" s="2">
        <v>46</v>
      </c>
      <c r="B48" s="102" t="s">
        <v>382</v>
      </c>
      <c r="C48" s="67">
        <f>'2009年3月'!U48</f>
        <v>52.121</v>
      </c>
      <c r="D48" s="68">
        <v>1</v>
      </c>
      <c r="E48" s="69"/>
      <c r="F48" s="70">
        <f>-6.5*D48-10</f>
        <v>-16.5</v>
      </c>
      <c r="G48" s="68">
        <v>1</v>
      </c>
      <c r="H48" s="69"/>
      <c r="I48" s="70">
        <f t="shared" si="4"/>
        <v>-6.923</v>
      </c>
      <c r="J48" s="68">
        <v>1</v>
      </c>
      <c r="K48" s="69"/>
      <c r="L48" s="70">
        <f>-6.1905*J48-10</f>
        <v>-16.1905</v>
      </c>
      <c r="M48" s="68"/>
      <c r="N48" s="69"/>
      <c r="O48" s="70">
        <f t="shared" si="3"/>
        <v>0</v>
      </c>
      <c r="P48" s="68"/>
      <c r="Q48" s="69"/>
      <c r="R48" s="70"/>
      <c r="S48" s="68"/>
      <c r="T48" s="72"/>
      <c r="U48" s="101">
        <f t="shared" si="7"/>
        <v>12.5075</v>
      </c>
    </row>
    <row r="49" spans="1:21" ht="12.75">
      <c r="A49" s="2">
        <v>47</v>
      </c>
      <c r="B49" s="102" t="s">
        <v>383</v>
      </c>
      <c r="C49" s="67">
        <f>'2009年3月'!U49</f>
        <v>45.417899999999996</v>
      </c>
      <c r="D49" s="68"/>
      <c r="E49" s="69"/>
      <c r="F49" s="70">
        <f t="shared" si="2"/>
        <v>0</v>
      </c>
      <c r="G49" s="68"/>
      <c r="H49" s="69"/>
      <c r="I49" s="70">
        <f t="shared" si="4"/>
        <v>0</v>
      </c>
      <c r="J49" s="68">
        <v>1</v>
      </c>
      <c r="K49" s="69"/>
      <c r="L49" s="70">
        <f t="shared" si="6"/>
        <v>-6.1905</v>
      </c>
      <c r="M49" s="68"/>
      <c r="N49" s="69"/>
      <c r="O49" s="70">
        <f t="shared" si="3"/>
        <v>0</v>
      </c>
      <c r="P49" s="68"/>
      <c r="Q49" s="69"/>
      <c r="R49" s="70"/>
      <c r="S49" s="73"/>
      <c r="T49" s="72"/>
      <c r="U49" s="101">
        <f t="shared" si="7"/>
        <v>39.227399999999996</v>
      </c>
    </row>
    <row r="50" spans="1:21" ht="12.75">
      <c r="A50" s="2">
        <v>48</v>
      </c>
      <c r="B50" s="102" t="s">
        <v>384</v>
      </c>
      <c r="C50" s="67">
        <f>'2009年3月'!U50</f>
        <v>69.43889999999999</v>
      </c>
      <c r="D50" s="68"/>
      <c r="E50" s="69"/>
      <c r="F50" s="70">
        <f t="shared" si="2"/>
        <v>0</v>
      </c>
      <c r="G50" s="68"/>
      <c r="H50" s="69"/>
      <c r="I50" s="70">
        <f t="shared" si="4"/>
        <v>0</v>
      </c>
      <c r="J50" s="68"/>
      <c r="K50" s="69"/>
      <c r="L50" s="70">
        <f t="shared" si="6"/>
        <v>0</v>
      </c>
      <c r="M50" s="68"/>
      <c r="N50" s="69"/>
      <c r="O50" s="70">
        <f t="shared" si="3"/>
        <v>0</v>
      </c>
      <c r="P50" s="68"/>
      <c r="Q50" s="69"/>
      <c r="R50" s="70"/>
      <c r="S50" s="68"/>
      <c r="T50" s="72"/>
      <c r="U50" s="101">
        <f t="shared" si="7"/>
        <v>69.43889999999999</v>
      </c>
    </row>
    <row r="51" spans="1:21" ht="12.75">
      <c r="A51" s="2">
        <v>49</v>
      </c>
      <c r="B51" s="43" t="s">
        <v>385</v>
      </c>
      <c r="C51" s="74">
        <f>'2009年3月'!U51</f>
        <v>45.993500000000004</v>
      </c>
      <c r="D51" s="75"/>
      <c r="E51" s="96"/>
      <c r="F51" s="77">
        <f t="shared" si="2"/>
        <v>0</v>
      </c>
      <c r="G51" s="75">
        <v>1</v>
      </c>
      <c r="H51" s="96"/>
      <c r="I51" s="77">
        <f t="shared" si="4"/>
        <v>-6.923</v>
      </c>
      <c r="J51" s="75">
        <v>1</v>
      </c>
      <c r="K51" s="96"/>
      <c r="L51" s="77">
        <f t="shared" si="6"/>
        <v>-6.1905</v>
      </c>
      <c r="M51" s="75">
        <v>1</v>
      </c>
      <c r="N51" s="96"/>
      <c r="O51" s="77">
        <f t="shared" si="3"/>
        <v>-7.8947</v>
      </c>
      <c r="P51" s="75"/>
      <c r="Q51" s="96"/>
      <c r="R51" s="77"/>
      <c r="S51" s="80"/>
      <c r="T51" s="79"/>
      <c r="U51" s="101">
        <f t="shared" si="7"/>
        <v>24.985300000000002</v>
      </c>
    </row>
    <row r="52" spans="1:21" ht="12.75">
      <c r="A52" s="2">
        <v>50</v>
      </c>
      <c r="B52" s="43" t="s">
        <v>386</v>
      </c>
      <c r="C52" s="74">
        <f>'2009年3月'!U52</f>
        <v>45.993500000000004</v>
      </c>
      <c r="D52" s="80"/>
      <c r="E52" s="96"/>
      <c r="F52" s="77">
        <f t="shared" si="2"/>
        <v>0</v>
      </c>
      <c r="G52" s="80">
        <v>1</v>
      </c>
      <c r="H52" s="96"/>
      <c r="I52" s="77">
        <f t="shared" si="4"/>
        <v>-6.923</v>
      </c>
      <c r="J52" s="80">
        <v>1</v>
      </c>
      <c r="K52" s="96"/>
      <c r="L52" s="77">
        <f t="shared" si="6"/>
        <v>-6.1905</v>
      </c>
      <c r="M52" s="80">
        <v>1</v>
      </c>
      <c r="N52" s="96"/>
      <c r="O52" s="77">
        <f t="shared" si="3"/>
        <v>-7.8947</v>
      </c>
      <c r="P52" s="80"/>
      <c r="Q52" s="96"/>
      <c r="R52" s="77"/>
      <c r="S52" s="75"/>
      <c r="T52" s="79"/>
      <c r="U52" s="101">
        <f t="shared" si="7"/>
        <v>24.985300000000002</v>
      </c>
    </row>
    <row r="53" spans="1:21" ht="12.75">
      <c r="A53" s="2">
        <v>51</v>
      </c>
      <c r="B53" s="115">
        <v>2007</v>
      </c>
      <c r="C53" s="74">
        <f>'2009年3月'!U53</f>
        <v>86.8376</v>
      </c>
      <c r="D53" s="75">
        <v>1</v>
      </c>
      <c r="E53" s="96"/>
      <c r="F53" s="77">
        <f t="shared" si="2"/>
        <v>-6.5</v>
      </c>
      <c r="G53" s="75"/>
      <c r="H53" s="96"/>
      <c r="I53" s="77">
        <f t="shared" si="4"/>
        <v>0</v>
      </c>
      <c r="J53" s="75"/>
      <c r="K53" s="96"/>
      <c r="L53" s="77">
        <f t="shared" si="6"/>
        <v>0</v>
      </c>
      <c r="M53" s="75"/>
      <c r="N53" s="96"/>
      <c r="O53" s="77">
        <f t="shared" si="3"/>
        <v>0</v>
      </c>
      <c r="P53" s="75"/>
      <c r="Q53" s="96"/>
      <c r="R53" s="113"/>
      <c r="S53" s="75"/>
      <c r="T53" s="114"/>
      <c r="U53" s="101">
        <f t="shared" si="7"/>
        <v>80.3376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6.5</v>
      </c>
      <c r="G55" s="1">
        <f>SUM(G3:G53)</f>
        <v>26</v>
      </c>
      <c r="I55" s="1">
        <f>H66/G55</f>
        <v>6.923076923076923</v>
      </c>
      <c r="J55" s="1">
        <f>SUM(J3:J53)</f>
        <v>21</v>
      </c>
      <c r="L55" s="1">
        <f>K66/J55</f>
        <v>6.190476190476191</v>
      </c>
      <c r="M55" s="1">
        <f>SUM(M3:M53)</f>
        <v>19</v>
      </c>
      <c r="O55" s="1">
        <f>N66/M55</f>
        <v>7.894736842105263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387</v>
      </c>
      <c r="F56" s="48" t="s">
        <v>388</v>
      </c>
      <c r="G56" s="47" t="s">
        <v>387</v>
      </c>
      <c r="I56" s="48" t="s">
        <v>388</v>
      </c>
      <c r="J56" s="47" t="s">
        <v>387</v>
      </c>
      <c r="L56" s="48" t="s">
        <v>388</v>
      </c>
      <c r="M56" s="47" t="s">
        <v>387</v>
      </c>
      <c r="O56" s="48" t="s">
        <v>388</v>
      </c>
      <c r="P56" s="47" t="s">
        <v>387</v>
      </c>
      <c r="R56" s="48" t="s">
        <v>388</v>
      </c>
    </row>
    <row r="57" spans="5:21" ht="12.75">
      <c r="E57" s="37" t="s">
        <v>389</v>
      </c>
      <c r="F57" s="1">
        <f>SUM(F3:F53)</f>
        <v>-150</v>
      </c>
      <c r="H57" s="37" t="s">
        <v>389</v>
      </c>
      <c r="I57" s="1">
        <f>SUM(I3:I53)</f>
        <v>-199.99800000000005</v>
      </c>
      <c r="K57" s="37" t="s">
        <v>389</v>
      </c>
      <c r="L57" s="1">
        <f>SUM(L3:L53)</f>
        <v>-150.0005</v>
      </c>
      <c r="N57" s="37" t="s">
        <v>389</v>
      </c>
      <c r="O57" s="1">
        <f>SUM(O3:O53)</f>
        <v>-149.9993</v>
      </c>
      <c r="Q57" s="37" t="s">
        <v>389</v>
      </c>
      <c r="R57" s="1">
        <f>SUM(R3:R53)</f>
        <v>0</v>
      </c>
      <c r="U57" s="24"/>
    </row>
    <row r="58" spans="2:21" ht="12.75">
      <c r="B58" s="41" t="s">
        <v>390</v>
      </c>
      <c r="C58" s="36">
        <f>SUM(C3:C53)</f>
        <v>2909.9995000000013</v>
      </c>
      <c r="E58" s="41"/>
      <c r="H58" s="41"/>
      <c r="K58" s="41"/>
      <c r="N58" s="41"/>
      <c r="Q58" s="41"/>
      <c r="U58" s="24"/>
    </row>
    <row r="59" spans="19:21" ht="12.75">
      <c r="S59" s="151" t="s">
        <v>8</v>
      </c>
      <c r="T59" s="151"/>
      <c r="U59" s="56">
        <f>SUM(U3:U53)</f>
        <v>2610.0017000000007</v>
      </c>
    </row>
    <row r="60" spans="4:18" ht="12.75" customHeight="1">
      <c r="D60" s="155" t="s">
        <v>398</v>
      </c>
      <c r="E60" s="161"/>
      <c r="F60" s="162"/>
      <c r="G60" s="155" t="s">
        <v>401</v>
      </c>
      <c r="H60" s="161"/>
      <c r="I60" s="162"/>
      <c r="J60" s="155" t="s">
        <v>403</v>
      </c>
      <c r="K60" s="161"/>
      <c r="L60" s="162"/>
      <c r="M60" s="155" t="s">
        <v>404</v>
      </c>
      <c r="N60" s="161"/>
      <c r="O60" s="162"/>
      <c r="P60" s="155"/>
      <c r="Q60" s="161"/>
      <c r="R60" s="162"/>
    </row>
    <row r="61" spans="4:18" ht="12.75">
      <c r="D61" s="163"/>
      <c r="E61" s="164"/>
      <c r="F61" s="165"/>
      <c r="G61" s="163"/>
      <c r="H61" s="164"/>
      <c r="I61" s="165"/>
      <c r="J61" s="163"/>
      <c r="K61" s="164"/>
      <c r="L61" s="165"/>
      <c r="M61" s="163"/>
      <c r="N61" s="164"/>
      <c r="O61" s="165"/>
      <c r="P61" s="163"/>
      <c r="Q61" s="164"/>
      <c r="R61" s="165"/>
    </row>
    <row r="62" spans="4:18" ht="12.75">
      <c r="D62" s="163"/>
      <c r="E62" s="164"/>
      <c r="F62" s="165"/>
      <c r="G62" s="163"/>
      <c r="H62" s="164"/>
      <c r="I62" s="165"/>
      <c r="J62" s="163"/>
      <c r="K62" s="164"/>
      <c r="L62" s="165"/>
      <c r="M62" s="163"/>
      <c r="N62" s="164"/>
      <c r="O62" s="165"/>
      <c r="P62" s="163"/>
      <c r="Q62" s="164"/>
      <c r="R62" s="165"/>
    </row>
    <row r="63" spans="4:18" ht="12.75">
      <c r="D63" s="163"/>
      <c r="E63" s="164"/>
      <c r="F63" s="165"/>
      <c r="G63" s="163"/>
      <c r="H63" s="164"/>
      <c r="I63" s="165"/>
      <c r="J63" s="163"/>
      <c r="K63" s="164"/>
      <c r="L63" s="165"/>
      <c r="M63" s="163"/>
      <c r="N63" s="164"/>
      <c r="O63" s="165"/>
      <c r="P63" s="163"/>
      <c r="Q63" s="164"/>
      <c r="R63" s="165"/>
    </row>
    <row r="64" spans="4:18" ht="12.75">
      <c r="D64" s="163"/>
      <c r="E64" s="164"/>
      <c r="F64" s="165"/>
      <c r="G64" s="163"/>
      <c r="H64" s="164"/>
      <c r="I64" s="165"/>
      <c r="J64" s="163"/>
      <c r="K64" s="164"/>
      <c r="L64" s="165"/>
      <c r="M64" s="163"/>
      <c r="N64" s="164"/>
      <c r="O64" s="165"/>
      <c r="P64" s="163"/>
      <c r="Q64" s="164"/>
      <c r="R64" s="165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391</v>
      </c>
      <c r="E66" s="50">
        <f>E68-E84-E92</f>
        <v>130</v>
      </c>
      <c r="F66" s="51"/>
      <c r="G66" s="52" t="s">
        <v>391</v>
      </c>
      <c r="H66" s="50">
        <f>H68-H84-H92</f>
        <v>180</v>
      </c>
      <c r="I66" s="51"/>
      <c r="J66" s="52" t="s">
        <v>391</v>
      </c>
      <c r="K66" s="50">
        <f>K68-K84-K92</f>
        <v>130</v>
      </c>
      <c r="L66" s="51"/>
      <c r="M66" s="52" t="s">
        <v>391</v>
      </c>
      <c r="N66" s="50">
        <f>N68-N84-N92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392</v>
      </c>
      <c r="E68" s="54">
        <f>150</f>
        <v>150</v>
      </c>
      <c r="F68" s="55"/>
      <c r="G68" s="110" t="s">
        <v>392</v>
      </c>
      <c r="H68" s="54">
        <f>150+50</f>
        <v>200</v>
      </c>
      <c r="I68" s="55"/>
      <c r="J68" s="110" t="s">
        <v>392</v>
      </c>
      <c r="K68" s="54">
        <f>150</f>
        <v>150</v>
      </c>
      <c r="L68" s="55"/>
      <c r="M68" s="110" t="s">
        <v>392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9"/>
      <c r="E74" s="150"/>
      <c r="F74" s="150"/>
      <c r="G74" s="149"/>
      <c r="H74" s="150"/>
      <c r="I74" s="150"/>
      <c r="J74" s="149"/>
      <c r="K74" s="150"/>
      <c r="L74" s="150"/>
      <c r="M74" s="149"/>
      <c r="N74" s="150"/>
      <c r="O74" s="150"/>
      <c r="P74" s="149"/>
      <c r="Q74" s="150"/>
      <c r="R74" s="150"/>
    </row>
    <row r="75" spans="4:18" ht="12.75"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</row>
    <row r="76" spans="4:18" ht="59.25" customHeight="1"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</row>
    <row r="77" spans="4:18" ht="12.75">
      <c r="D77" s="149"/>
      <c r="E77" s="150"/>
      <c r="F77" s="150"/>
      <c r="G77" s="149"/>
      <c r="H77" s="150"/>
      <c r="I77" s="150"/>
      <c r="J77" s="149"/>
      <c r="K77" s="150"/>
      <c r="L77" s="150"/>
      <c r="M77" s="149"/>
      <c r="N77" s="150"/>
      <c r="O77" s="150"/>
      <c r="P77" s="149"/>
      <c r="Q77" s="150"/>
      <c r="R77" s="150"/>
    </row>
    <row r="78" spans="4:18" ht="12.75"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</row>
    <row r="79" spans="4:18" ht="21.75" customHeight="1"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</row>
    <row r="80" spans="4:17" ht="12.75">
      <c r="D80" s="153" t="s">
        <v>393</v>
      </c>
      <c r="E80" s="154"/>
      <c r="G80" s="153" t="s">
        <v>393</v>
      </c>
      <c r="H80" s="154"/>
      <c r="J80" s="153" t="s">
        <v>393</v>
      </c>
      <c r="K80" s="154"/>
      <c r="M80" s="153" t="s">
        <v>393</v>
      </c>
      <c r="N80" s="154"/>
      <c r="P80" s="153"/>
      <c r="Q80" s="154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146</v>
      </c>
      <c r="E82" s="1">
        <v>10</v>
      </c>
      <c r="G82" s="107" t="s">
        <v>402</v>
      </c>
      <c r="H82" s="1">
        <v>10</v>
      </c>
      <c r="J82" s="107" t="s">
        <v>88</v>
      </c>
      <c r="K82" s="1">
        <v>10</v>
      </c>
      <c r="M82" s="107"/>
      <c r="P82" s="107"/>
    </row>
    <row r="83" spans="4:16" ht="12.75">
      <c r="D83" s="1" t="s">
        <v>397</v>
      </c>
      <c r="E83" s="1">
        <v>10</v>
      </c>
      <c r="J83" s="1" t="s">
        <v>397</v>
      </c>
      <c r="K83" s="1">
        <v>10</v>
      </c>
      <c r="P83" s="107"/>
    </row>
    <row r="84" spans="5:17" ht="12.75">
      <c r="E84" s="37">
        <f>SUM(E82:E83)</f>
        <v>20</v>
      </c>
      <c r="H84" s="37">
        <f>SUM(H82:H83)</f>
        <v>10</v>
      </c>
      <c r="K84" s="37">
        <f>SUM(K82:K83)</f>
        <v>20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3" t="s">
        <v>394</v>
      </c>
      <c r="E87" s="154"/>
      <c r="G87" s="153" t="s">
        <v>394</v>
      </c>
      <c r="H87" s="154"/>
      <c r="J87" s="153" t="s">
        <v>394</v>
      </c>
      <c r="K87" s="154"/>
      <c r="M87" s="153" t="s">
        <v>394</v>
      </c>
      <c r="N87" s="154"/>
      <c r="P87" s="153"/>
      <c r="Q87" s="154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395</v>
      </c>
      <c r="E89" s="1">
        <v>0</v>
      </c>
      <c r="G89" s="107" t="s">
        <v>125</v>
      </c>
      <c r="H89" s="1">
        <v>10</v>
      </c>
      <c r="J89" s="107"/>
      <c r="M89" s="107"/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0</v>
      </c>
    </row>
    <row r="94" spans="4:18" ht="12.75" customHeight="1">
      <c r="D94" s="152" t="s">
        <v>396</v>
      </c>
      <c r="E94" s="152"/>
      <c r="F94" s="152"/>
      <c r="G94" s="152" t="s">
        <v>396</v>
      </c>
      <c r="H94" s="152"/>
      <c r="I94" s="152"/>
      <c r="J94" s="152" t="s">
        <v>396</v>
      </c>
      <c r="K94" s="152"/>
      <c r="L94" s="152"/>
      <c r="M94" s="152" t="s">
        <v>396</v>
      </c>
      <c r="N94" s="152"/>
      <c r="O94" s="152"/>
      <c r="P94" s="152"/>
      <c r="Q94" s="152"/>
      <c r="R94" s="152"/>
    </row>
    <row r="95" spans="4:18" ht="12.75"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4:18" ht="12.75"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4:18" ht="12.75">
      <c r="D97" s="107"/>
      <c r="E97" s="37"/>
      <c r="F97" s="59"/>
      <c r="G97" s="1" t="s">
        <v>397</v>
      </c>
      <c r="H97" s="37"/>
      <c r="I97" s="59"/>
      <c r="K97" s="37"/>
      <c r="L97" s="59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101" spans="4:18" ht="12.75">
      <c r="D101" s="156" t="s">
        <v>391</v>
      </c>
      <c r="E101" s="154"/>
      <c r="F101" s="154"/>
      <c r="G101" s="156" t="s">
        <v>391</v>
      </c>
      <c r="H101" s="154"/>
      <c r="I101" s="154"/>
      <c r="J101" s="156" t="s">
        <v>391</v>
      </c>
      <c r="K101" s="154"/>
      <c r="L101" s="154"/>
      <c r="M101" s="156" t="s">
        <v>391</v>
      </c>
      <c r="N101" s="154"/>
      <c r="O101" s="154"/>
      <c r="P101" s="156"/>
      <c r="Q101" s="154"/>
      <c r="R101" s="154"/>
    </row>
    <row r="102" spans="4:18" ht="12.75"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*</cp:lastModifiedBy>
  <cp:lastPrinted>2006-12-29T04:34:49Z</cp:lastPrinted>
  <dcterms:created xsi:type="dcterms:W3CDTF">2006-06-30T06:02:56Z</dcterms:created>
  <dcterms:modified xsi:type="dcterms:W3CDTF">2010-04-19T07:09:41Z</dcterms:modified>
  <cp:category/>
  <cp:version/>
  <cp:contentType/>
  <cp:contentStatus/>
</cp:coreProperties>
</file>